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4.xml" ContentType="application/vnd.ms-excel.controlpropertie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5.xml" ContentType="application/vnd.ms-excel.controlpropertie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trlProps/ctrlProp6.xml" ContentType="application/vnd.ms-excel.controlproperties+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trlProps/ctrlProp7.xml" ContentType="application/vnd.ms-excel.controlproperties+xml"/>
  <Override PartName="/xl/tables/table8.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2.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0.xml" ContentType="application/vnd.openxmlformats-officedocument.drawing+xml"/>
  <Override PartName="/xl/ctrlProps/ctrlProp11.xml" ContentType="application/vnd.ms-excel.controlproperties+xml"/>
  <Override PartName="/xl/tables/table18.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11.xml" ContentType="application/vnd.openxmlformats-officedocument.drawing+xml"/>
  <Override PartName="/xl/ctrlProps/ctrlProp12.xml" ContentType="application/vnd.ms-excel.controlproperties+xml"/>
  <Override PartName="/xl/tables/table19.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20.xml" ContentType="application/vnd.openxmlformats-officedocument.spreadsheetml.table+xml"/>
  <Override PartName="/xl/tables/table21.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tables/table24.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Git Projects\PsychroCalc\"/>
    </mc:Choice>
  </mc:AlternateContent>
  <xr:revisionPtr revIDLastSave="0" documentId="13_ncr:1_{3A351C4D-CC19-4ABF-B18E-251C5D5DE30C}" xr6:coauthVersionLast="47" xr6:coauthVersionMax="47" xr10:uidLastSave="{00000000-0000-0000-0000-000000000000}"/>
  <bookViews>
    <workbookView xWindow="-108" yWindow="-108" windowWidth="30936" windowHeight="16776" tabRatio="605" activeTab="15" xr2:uid="{00000000-000D-0000-FFFF-FFFF00000000}"/>
  </bookViews>
  <sheets>
    <sheet name="INPUT_OUTPUTS" sheetId="64" r:id="rId1"/>
    <sheet name="Humidifier_Schedule" sheetId="139" state="hidden" r:id="rId2"/>
    <sheet name="AshraeTable4a" sheetId="111" state="hidden" r:id="rId3"/>
    <sheet name="CAV_SCHEDULES" sheetId="129" state="hidden" r:id="rId4"/>
    <sheet name="VA_Rooms_Calcs" sheetId="151" state="hidden" r:id="rId5"/>
    <sheet name="62.1_MULTI_ZONE" sheetId="107" state="hidden" r:id="rId6"/>
    <sheet name="VAV_SCHEDULES" sheetId="120" state="hidden" r:id="rId7"/>
    <sheet name="Room Temperature" sheetId="119" state="hidden" r:id="rId8"/>
    <sheet name="ROOM QC" sheetId="152" state="hidden" r:id="rId9"/>
    <sheet name="AH1" sheetId="154" r:id="rId10"/>
    <sheet name="AHU_SCHEDULES" sheetId="45" r:id="rId11"/>
    <sheet name="VA_Room_Data" sheetId="149" state="hidden" r:id="rId12"/>
    <sheet name="EF_Schedules" sheetId="148" state="hidden" r:id="rId13"/>
    <sheet name="Sequences" sheetId="146" state="hidden" r:id="rId14"/>
    <sheet name="HCAI_Fan_Power" sheetId="147" state="hidden" r:id="rId15"/>
    <sheet name="62.1_SINGLE_ZONE" sheetId="104" r:id="rId16"/>
    <sheet name="Title_24" sheetId="144" state="hidden" r:id="rId17"/>
    <sheet name="CH_and_Boiler_Schedule " sheetId="124" state="hidden" r:id="rId18"/>
    <sheet name="Misc_Rooms" sheetId="116" state="hidden" r:id="rId19"/>
    <sheet name="FCU_SCHEDULES" sheetId="118" state="hidden" r:id="rId20"/>
    <sheet name="CALIFORNIA_TABLE" sheetId="143" state="hidden" r:id="rId21"/>
    <sheet name="ASHRAE Table" sheetId="105" state="hidden" r:id="rId22"/>
    <sheet name="UMC Table 4-A" sheetId="37" state="hidden" r:id="rId23"/>
    <sheet name="DO NOT TOUCH" sheetId="63" state="hidden" r:id="rId24"/>
  </sheets>
  <functionGroups builtInGroupCount="19"/>
  <definedNames>
    <definedName name="_CAV1" localSheetId="18">#REF!</definedName>
    <definedName name="_CAV1">#REF!</definedName>
    <definedName name="_CAV1." localSheetId="9">'AH1'!#REF!</definedName>
    <definedName name="_CAV1." localSheetId="2">AshraeTable4a!#REF!</definedName>
    <definedName name="_CAV1." localSheetId="18">#REF!</definedName>
    <definedName name="_CAV1.">#REF!</definedName>
    <definedName name="_CAV2" localSheetId="18">#REF!</definedName>
    <definedName name="_CAV2">#REF!</definedName>
    <definedName name="_CAV3">#REF!</definedName>
    <definedName name="_CAV4">#REF!</definedName>
    <definedName name="_Ref38822284" localSheetId="13">Sequences!$A$134</definedName>
    <definedName name="_Ref440015150" localSheetId="13">Sequences!$G$12</definedName>
    <definedName name="_Ref440015169" localSheetId="13">Sequences!$G$11</definedName>
    <definedName name="_Ref440033356" localSheetId="13">Sequences!$D$27</definedName>
    <definedName name="_Ref73449741" localSheetId="13">Sequences!$A$38</definedName>
    <definedName name="_Ref73449755" localSheetId="13">Sequences!$A$37</definedName>
    <definedName name="_Ref73450375" localSheetId="13">Sequences!$A$48</definedName>
    <definedName name="_Ref73450525" localSheetId="13">Sequences!$A$59</definedName>
    <definedName name="_Ref73451565" localSheetId="13">Sequences!$A$103</definedName>
    <definedName name="_Ref73451586" localSheetId="13">Sequences!$A$299</definedName>
    <definedName name="_xlcn.WorksheetConnection_RevampedAHUPsycCalcsHCAI.xlsmAHU_Options1" hidden="1">AHU_Options[]</definedName>
    <definedName name="_xlcn.WorksheetConnection_RevampedAHUPsycCalcsHCAI.xlsmTable71" hidden="1">AHU_Schedules[]</definedName>
    <definedName name="_xleta.CODE" hidden="1" xlm="1">#NAME?</definedName>
    <definedName name="_xleta.INDEX" hidden="1" xlm="1">#NAME?</definedName>
    <definedName name="_xleta.VLOOKUP" hidden="1" xlm="1">#NAME?</definedName>
    <definedName name="AHU_1AC_AV" localSheetId="9">CAV_SCHEDULES!$A$5:$M$6</definedName>
    <definedName name="AHU_1AC_AV" localSheetId="2">CAV_SCHEDULES!$A$5:$M$6</definedName>
    <definedName name="AHU_1AC_AV">#REF!</definedName>
    <definedName name="AHUs" localSheetId="5">AHU_Schedules[TAG]</definedName>
    <definedName name="AHUs" localSheetId="4">AHU_Schedules[TAG]</definedName>
    <definedName name="CAV_1A_SCHEDULE" localSheetId="9">'AH1'!#REF!</definedName>
    <definedName name="CAV_1A_SCHEDULE" localSheetId="2">AshraeTable4a!#REF!</definedName>
    <definedName name="CAV_1A_SCHEDULE" localSheetId="18">#REF!</definedName>
    <definedName name="CAV_1A_SCHEDULE">#REF!</definedName>
    <definedName name="CAV_1B_SCHEDULE" localSheetId="18">#REF!</definedName>
    <definedName name="CAV_1B_SCHEDULE">#REF!</definedName>
    <definedName name="CAV_1C_SCHEDULE">#REF!</definedName>
    <definedName name="CAV_2_SCHEDULE">#REF!</definedName>
    <definedName name="CAV_3_SCHEDULE">#REF!</definedName>
    <definedName name="FCU" localSheetId="5">#REF!</definedName>
    <definedName name="FCU" localSheetId="4">#REF!</definedName>
    <definedName name="FCU">#REF!</definedName>
    <definedName name="_xlnm.Print_Area" localSheetId="9">'AH1'!$E$3:$Y$5</definedName>
    <definedName name="_xlnm.Print_Area" localSheetId="10">AHU_SCHEDULES!$A$8:$BD$14</definedName>
    <definedName name="_xlnm.Print_Area" localSheetId="2">AshraeTable4a!$E$3:$Y$5</definedName>
    <definedName name="_xlnm.Print_Area" localSheetId="19">FCU_SCHEDULES!$A$8:$AC$13</definedName>
    <definedName name="_xlnm.Print_Area" localSheetId="22">'UMC Table 4-A'!$A$1:$E$132</definedName>
    <definedName name="_xlnm.Print_Area" localSheetId="11">VA_Room_Data!$A$1:$V$733</definedName>
    <definedName name="_xlnm.Print_Titles" localSheetId="9">'AH1'!$3:$4</definedName>
    <definedName name="_xlnm.Print_Titles" localSheetId="2">AshraeTable4a!$3:$4</definedName>
    <definedName name="_xlnm.Print_Titles" localSheetId="22">'UMC Table 4-A'!$A:$B,'UMC Table 4-A'!$1:$1</definedName>
    <definedName name="Space_air_rates">#REF!</definedName>
    <definedName name="Space_index">#REF!</definedName>
    <definedName name="table_4_a">'UMC Table 4-A'!$A$2:$E$132</definedName>
    <definedName name="VENTILATION_SCHEDULE_AHU_3">#REF!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 name="Table7" connection="WorksheetConnection_Revamped AHU Psyc Calcs (HCAI).xlsm!Table7"/>
          <x15:modelTable id="AHU_Options" name="AHU_Options" connection="WorksheetConnection_Revamped AHU Psyc Calcs (HCAI).xlsm!AHU_Options"/>
        </x15:modelTables>
        <x15:modelRelationships>
          <x15:modelRelationship fromTable="AHU_Options" fromColumn="AHU NAME" toTable="Table7" toColumn="TAG"/>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45" l="1"/>
  <c r="J13" i="45"/>
  <c r="L13" i="45"/>
  <c r="M13" i="45"/>
  <c r="N13" i="45"/>
  <c r="Y13" i="45"/>
  <c r="Z13" i="45"/>
  <c r="AE13" i="45"/>
  <c r="AF13" i="45"/>
  <c r="AK13" i="45"/>
  <c r="AL13" i="45"/>
  <c r="AR13" i="45"/>
  <c r="AS13" i="45"/>
  <c r="F6" i="154"/>
  <c r="AR5" i="154"/>
  <c r="AI5" i="154"/>
  <c r="AH5" i="154"/>
  <c r="AJ5" i="154" s="1"/>
  <c r="AG5" i="154"/>
  <c r="AE5" i="154"/>
  <c r="AD5" i="154"/>
  <c r="AC5" i="154"/>
  <c r="AB5" i="154"/>
  <c r="AA5" i="154"/>
  <c r="AA6" i="154" s="1"/>
  <c r="Z5" i="154"/>
  <c r="Z6" i="154" s="1"/>
  <c r="Y5" i="154"/>
  <c r="X5" i="154"/>
  <c r="W5" i="154"/>
  <c r="V5" i="154"/>
  <c r="Q5" i="154"/>
  <c r="R5" i="154" s="1"/>
  <c r="R6" i="154" s="1"/>
  <c r="O5" i="154"/>
  <c r="P5" i="154" s="1"/>
  <c r="P6" i="154" s="1"/>
  <c r="M5" i="154"/>
  <c r="N5" i="154" s="1"/>
  <c r="L5" i="154"/>
  <c r="K5" i="154"/>
  <c r="Z6" i="104" a="1"/>
  <c r="U13" i="45" a="1"/>
  <c r="AG13" i="45" a="1"/>
  <c r="Z6" i="104" l="1"/>
  <c r="AG13" i="45"/>
  <c r="U13" i="45"/>
  <c r="AV13" i="45"/>
  <c r="AU13" i="45"/>
  <c r="N6" i="154"/>
  <c r="AL5" i="154"/>
  <c r="H13" i="45" s="1"/>
  <c r="K13" i="45" s="1"/>
  <c r="H48" i="152"/>
  <c r="K5" i="111"/>
  <c r="R5" i="151" a="1"/>
  <c r="R5" i="151" s="1"/>
  <c r="R6" i="151" a="1"/>
  <c r="R6" i="151" s="1"/>
  <c r="R7" i="151" a="1"/>
  <c r="R7" i="151" s="1"/>
  <c r="R8" i="151" a="1"/>
  <c r="R8" i="151" s="1"/>
  <c r="R9" i="151" a="1"/>
  <c r="R9" i="151" s="1"/>
  <c r="R10" i="151" a="1"/>
  <c r="R10" i="151" s="1"/>
  <c r="R11" i="151" a="1"/>
  <c r="R11" i="151" s="1"/>
  <c r="R12" i="151" a="1"/>
  <c r="R12" i="151" s="1"/>
  <c r="R13" i="151" a="1"/>
  <c r="R13" i="151" s="1"/>
  <c r="R14" i="151" a="1"/>
  <c r="R14" i="151" s="1"/>
  <c r="R15" i="151" a="1"/>
  <c r="R15" i="151" s="1"/>
  <c r="R16" i="151" a="1"/>
  <c r="R16" i="151" s="1"/>
  <c r="R17" i="151" a="1"/>
  <c r="R17" i="151" s="1"/>
  <c r="P5" i="151" a="1"/>
  <c r="P5" i="151" s="1"/>
  <c r="P6" i="151" a="1"/>
  <c r="P6" i="151" s="1"/>
  <c r="P7" i="151" a="1"/>
  <c r="P7" i="151" s="1"/>
  <c r="P8" i="151" a="1"/>
  <c r="P8" i="151" s="1"/>
  <c r="P9" i="151" a="1"/>
  <c r="P9" i="151" s="1"/>
  <c r="P10" i="151" a="1"/>
  <c r="P10" i="151" s="1"/>
  <c r="P11" i="151" a="1"/>
  <c r="P11" i="151" s="1"/>
  <c r="P12" i="151" a="1"/>
  <c r="P12" i="151" s="1"/>
  <c r="P13" i="151" a="1"/>
  <c r="P13" i="151" s="1"/>
  <c r="P14" i="151" a="1"/>
  <c r="P14" i="151" s="1"/>
  <c r="P15" i="151" a="1"/>
  <c r="P15" i="151" s="1"/>
  <c r="P16" i="151" a="1"/>
  <c r="P16" i="151" s="1"/>
  <c r="P17" i="151" a="1"/>
  <c r="P17" i="151" s="1"/>
  <c r="N5" i="151" a="1"/>
  <c r="N5" i="151" s="1"/>
  <c r="N6" i="151" a="1"/>
  <c r="N6" i="151" s="1"/>
  <c r="N7" i="151" a="1"/>
  <c r="N7" i="151" s="1"/>
  <c r="N8" i="151" a="1"/>
  <c r="N8" i="151" s="1"/>
  <c r="N9" i="151" a="1"/>
  <c r="N9" i="151" s="1"/>
  <c r="N10" i="151" a="1"/>
  <c r="N10" i="151" s="1"/>
  <c r="N11" i="151" a="1"/>
  <c r="N11" i="151" s="1"/>
  <c r="N12" i="151" a="1"/>
  <c r="N12" i="151" s="1"/>
  <c r="N13" i="151" a="1"/>
  <c r="N13" i="151" s="1"/>
  <c r="N14" i="151" a="1"/>
  <c r="N14" i="151" s="1"/>
  <c r="N15" i="151" a="1"/>
  <c r="N15" i="151" s="1"/>
  <c r="N16" i="151" a="1"/>
  <c r="N16" i="151" s="1"/>
  <c r="N17" i="151" a="1"/>
  <c r="N17" i="151" s="1"/>
  <c r="M5" i="151" a="1"/>
  <c r="M5" i="151" s="1"/>
  <c r="M6" i="151" a="1"/>
  <c r="M6" i="151" s="1"/>
  <c r="M7" i="151" a="1"/>
  <c r="M7" i="151" s="1"/>
  <c r="M8" i="151" a="1"/>
  <c r="M8" i="151" s="1"/>
  <c r="M9" i="151" a="1"/>
  <c r="M9" i="151" s="1"/>
  <c r="M10" i="151" a="1"/>
  <c r="M10" i="151" s="1"/>
  <c r="M11" i="151" a="1"/>
  <c r="M11" i="151" s="1"/>
  <c r="M12" i="151" a="1"/>
  <c r="M12" i="151" s="1"/>
  <c r="M13" i="151" a="1"/>
  <c r="M13" i="151" s="1"/>
  <c r="M14" i="151" a="1"/>
  <c r="M14" i="151" s="1"/>
  <c r="M15" i="151" a="1"/>
  <c r="M15" i="151" s="1"/>
  <c r="M16" i="151" a="1"/>
  <c r="M16" i="151" s="1"/>
  <c r="M17" i="151" a="1"/>
  <c r="M17" i="151" s="1"/>
  <c r="E41" i="152" a="1"/>
  <c r="D46" i="152" a="1"/>
  <c r="D10" i="152" a="1"/>
  <c r="E35" i="152" a="1"/>
  <c r="F10" i="152" a="1"/>
  <c r="F25" i="152" a="1"/>
  <c r="E40" i="152" a="1"/>
  <c r="D38" i="152" a="1"/>
  <c r="Q13" i="151" a="1"/>
  <c r="Q9" i="151" a="1"/>
  <c r="D44" i="152" a="1"/>
  <c r="F22" i="152" a="1"/>
  <c r="D9" i="152" a="1"/>
  <c r="Q8" i="151" a="1"/>
  <c r="E34" i="152" a="1"/>
  <c r="E22" i="152" a="1"/>
  <c r="O16" i="151" a="1"/>
  <c r="F32" i="152" a="1"/>
  <c r="E44" i="152" a="1"/>
  <c r="D17" i="152" a="1"/>
  <c r="D7" i="152" a="1"/>
  <c r="Q12" i="151" a="1"/>
  <c r="D35" i="152" a="1"/>
  <c r="F31" i="152" a="1"/>
  <c r="D40" i="152" a="1"/>
  <c r="F36" i="152" a="1"/>
  <c r="E32" i="152" a="1"/>
  <c r="F29" i="152" a="1"/>
  <c r="F19" i="152" a="1"/>
  <c r="E8" i="152" a="1"/>
  <c r="D13" i="152" a="1"/>
  <c r="F37" i="152" a="1"/>
  <c r="F41" i="152" a="1"/>
  <c r="D26" i="152" a="1"/>
  <c r="D25" i="152" a="1"/>
  <c r="F5" i="152" a="1"/>
  <c r="F35" i="152" a="1"/>
  <c r="F16" i="152" a="1"/>
  <c r="F8" i="152" a="1"/>
  <c r="E17" i="152" a="1"/>
  <c r="D45" i="152" a="1"/>
  <c r="O7" i="151" a="1"/>
  <c r="D14" i="152" a="1"/>
  <c r="D37" i="152" a="1"/>
  <c r="F13" i="152" a="1"/>
  <c r="F12" i="152" a="1"/>
  <c r="D22" i="152" a="1"/>
  <c r="F46" i="152" a="1"/>
  <c r="D11" i="152" a="1"/>
  <c r="F23" i="152" a="1"/>
  <c r="E43" i="152" a="1"/>
  <c r="O6" i="151" a="1"/>
  <c r="E21" i="152" a="1"/>
  <c r="O17" i="151" a="1"/>
  <c r="D8" i="152" a="1"/>
  <c r="E16" i="152" a="1"/>
  <c r="O15" i="151" a="1"/>
  <c r="E23" i="152" a="1"/>
  <c r="F21" i="152" a="1"/>
  <c r="E26" i="152" a="1"/>
  <c r="O8" i="151" a="1"/>
  <c r="F6" i="152" a="1"/>
  <c r="F45" i="152" a="1"/>
  <c r="E29" i="152" a="1"/>
  <c r="F47" i="152" a="1"/>
  <c r="O5" i="151" a="1"/>
  <c r="D39" i="152" a="1"/>
  <c r="D42" i="152" a="1"/>
  <c r="F7" i="152" a="1"/>
  <c r="D30" i="152" a="1"/>
  <c r="Q16" i="151" a="1"/>
  <c r="F14" i="152" a="1"/>
  <c r="D6" i="152" a="1"/>
  <c r="D19" i="152" a="1"/>
  <c r="F44" i="152" a="1"/>
  <c r="E39" i="152" a="1"/>
  <c r="E42" i="152" a="1"/>
  <c r="E37" i="152" a="1"/>
  <c r="E45" i="152" a="1"/>
  <c r="D41" i="152" a="1"/>
  <c r="E36" i="152" a="1"/>
  <c r="F9" i="152" a="1"/>
  <c r="Q6" i="151" a="1"/>
  <c r="O9" i="151" a="1"/>
  <c r="Q5" i="151" a="1"/>
  <c r="Q17" i="151" a="1"/>
  <c r="D15" i="152" a="1"/>
  <c r="F27" i="152" a="1"/>
  <c r="O12" i="151" a="1"/>
  <c r="D12" i="152" a="1"/>
  <c r="E31" i="152" a="1"/>
  <c r="E25" i="152" a="1"/>
  <c r="F11" i="152" a="1"/>
  <c r="F26" i="152" a="1"/>
  <c r="F38" i="152" a="1"/>
  <c r="D18" i="152" a="1"/>
  <c r="E5" i="152" a="1"/>
  <c r="F42" i="152" a="1"/>
  <c r="E9" i="152" a="1"/>
  <c r="F28" i="152" a="1"/>
  <c r="E30" i="152" a="1"/>
  <c r="E27" i="152" a="1"/>
  <c r="AK5" i="154" a="1"/>
  <c r="D36" i="152" a="1"/>
  <c r="E7" i="152" a="1"/>
  <c r="F30" i="152" a="1"/>
  <c r="E47" i="152" a="1"/>
  <c r="F18" i="152" a="1"/>
  <c r="F34" i="152" a="1"/>
  <c r="O14" i="151" a="1"/>
  <c r="E15" i="152" a="1"/>
  <c r="D31" i="152" a="1"/>
  <c r="D21" i="152" a="1"/>
  <c r="D32" i="152" a="1"/>
  <c r="D23" i="152" a="1"/>
  <c r="F17" i="152" a="1"/>
  <c r="E38" i="152" a="1"/>
  <c r="E12" i="152" a="1"/>
  <c r="E20" i="152" a="1"/>
  <c r="D16" i="152" a="1"/>
  <c r="D5" i="152" a="1"/>
  <c r="F20" i="152" a="1"/>
  <c r="E6" i="152" a="1"/>
  <c r="E18" i="152" a="1"/>
  <c r="F39" i="152" a="1"/>
  <c r="D43" i="152" a="1"/>
  <c r="F40" i="152" a="1"/>
  <c r="D34" i="152" a="1"/>
  <c r="Q15" i="151" a="1"/>
  <c r="O11" i="151" a="1"/>
  <c r="E13" i="152" a="1"/>
  <c r="F33" i="152" a="1"/>
  <c r="O10" i="151" a="1"/>
  <c r="D27" i="152" a="1"/>
  <c r="E46" i="152" a="1"/>
  <c r="E11" i="152" a="1"/>
  <c r="D24" i="152" a="1"/>
  <c r="F24" i="152" a="1"/>
  <c r="E14" i="152" a="1"/>
  <c r="Q7" i="151" a="1"/>
  <c r="D47" i="152" a="1"/>
  <c r="E33" i="152" a="1"/>
  <c r="Q10" i="151" a="1"/>
  <c r="E10" i="152" a="1"/>
  <c r="D28" i="152" a="1"/>
  <c r="F43" i="152" a="1"/>
  <c r="E28" i="152" a="1"/>
  <c r="Q14" i="151" a="1"/>
  <c r="Q11" i="151" a="1"/>
  <c r="D20" i="152" a="1"/>
  <c r="F15" i="152" a="1"/>
  <c r="D29" i="152" a="1"/>
  <c r="E19" i="152" a="1"/>
  <c r="O13" i="151" a="1"/>
  <c r="D33" i="152" a="1"/>
  <c r="E24" i="152" a="1"/>
  <c r="AK5" i="154" l="1"/>
  <c r="AL6" i="154"/>
  <c r="E47" i="152"/>
  <c r="G47" i="152" s="1"/>
  <c r="D47" i="152"/>
  <c r="F47" i="152"/>
  <c r="E46" i="152"/>
  <c r="G46" i="152" s="1"/>
  <c r="F46" i="152"/>
  <c r="D46" i="152"/>
  <c r="E45" i="152"/>
  <c r="G45" i="152" s="1"/>
  <c r="D45" i="152"/>
  <c r="F45" i="152"/>
  <c r="E44" i="152"/>
  <c r="G44" i="152" s="1"/>
  <c r="D44" i="152"/>
  <c r="F44" i="152"/>
  <c r="D43" i="152"/>
  <c r="E43" i="152"/>
  <c r="G43" i="152" s="1"/>
  <c r="F43" i="152"/>
  <c r="E42" i="152"/>
  <c r="G42" i="152" s="1"/>
  <c r="F42" i="152"/>
  <c r="D42" i="152"/>
  <c r="E41" i="152"/>
  <c r="G41" i="152" s="1"/>
  <c r="F41" i="152"/>
  <c r="D41" i="152"/>
  <c r="D40" i="152"/>
  <c r="E40" i="152"/>
  <c r="G40" i="152" s="1"/>
  <c r="F40" i="152"/>
  <c r="D39" i="152"/>
  <c r="F39" i="152"/>
  <c r="E39" i="152"/>
  <c r="G39" i="152" s="1"/>
  <c r="E38" i="152"/>
  <c r="G38" i="152" s="1"/>
  <c r="F38" i="152"/>
  <c r="D38" i="152"/>
  <c r="D37" i="152"/>
  <c r="E37" i="152"/>
  <c r="G37" i="152" s="1"/>
  <c r="F37" i="152"/>
  <c r="E36" i="152"/>
  <c r="G36" i="152" s="1"/>
  <c r="D36" i="152"/>
  <c r="F36" i="152"/>
  <c r="D35" i="152"/>
  <c r="E35" i="152"/>
  <c r="G35" i="152" s="1"/>
  <c r="F35" i="152"/>
  <c r="D34" i="152"/>
  <c r="E34" i="152"/>
  <c r="G34" i="152" s="1"/>
  <c r="F34" i="152"/>
  <c r="D33" i="152"/>
  <c r="E33" i="152"/>
  <c r="G33" i="152" s="1"/>
  <c r="F33" i="152"/>
  <c r="D32" i="152"/>
  <c r="E32" i="152"/>
  <c r="G32" i="152" s="1"/>
  <c r="F32" i="152"/>
  <c r="D31" i="152"/>
  <c r="F31" i="152"/>
  <c r="E31" i="152"/>
  <c r="G31" i="152" s="1"/>
  <c r="E30" i="152"/>
  <c r="G30" i="152" s="1"/>
  <c r="F30" i="152"/>
  <c r="D30" i="152"/>
  <c r="D29" i="152"/>
  <c r="E29" i="152"/>
  <c r="G29" i="152" s="1"/>
  <c r="F29" i="152"/>
  <c r="D28" i="152"/>
  <c r="F28" i="152"/>
  <c r="E28" i="152"/>
  <c r="G28" i="152" s="1"/>
  <c r="E5" i="152"/>
  <c r="E27" i="152"/>
  <c r="G27" i="152" s="1"/>
  <c r="F27" i="152"/>
  <c r="D27" i="152"/>
  <c r="E26" i="152"/>
  <c r="G26" i="152" s="1"/>
  <c r="F26" i="152"/>
  <c r="D26" i="152"/>
  <c r="D25" i="152"/>
  <c r="F25" i="152"/>
  <c r="E25" i="152"/>
  <c r="G25" i="152" s="1"/>
  <c r="D24" i="152"/>
  <c r="F24" i="152"/>
  <c r="E24" i="152"/>
  <c r="G24" i="152" s="1"/>
  <c r="D23" i="152"/>
  <c r="F23" i="152"/>
  <c r="E23" i="152"/>
  <c r="G23" i="152" s="1"/>
  <c r="D22" i="152"/>
  <c r="F22" i="152"/>
  <c r="E22" i="152"/>
  <c r="G22" i="152" s="1"/>
  <c r="D21" i="152"/>
  <c r="E21" i="152"/>
  <c r="G21" i="152" s="1"/>
  <c r="F21" i="152"/>
  <c r="D20" i="152"/>
  <c r="F20" i="152"/>
  <c r="E20" i="152"/>
  <c r="G20" i="152" s="1"/>
  <c r="E19" i="152"/>
  <c r="G19" i="152" s="1"/>
  <c r="F19" i="152"/>
  <c r="D19" i="152"/>
  <c r="D18" i="152"/>
  <c r="E18" i="152"/>
  <c r="G18" i="152" s="1"/>
  <c r="F18" i="152"/>
  <c r="F17" i="152"/>
  <c r="E17" i="152"/>
  <c r="G17" i="152" s="1"/>
  <c r="D17" i="152"/>
  <c r="F16" i="152"/>
  <c r="D16" i="152"/>
  <c r="E16" i="152"/>
  <c r="G16" i="152" s="1"/>
  <c r="E15" i="152"/>
  <c r="G15" i="152" s="1"/>
  <c r="D15" i="152"/>
  <c r="F15" i="152"/>
  <c r="F14" i="152"/>
  <c r="E14" i="152"/>
  <c r="G14" i="152" s="1"/>
  <c r="D14" i="152"/>
  <c r="F13" i="152"/>
  <c r="E13" i="152"/>
  <c r="G13" i="152" s="1"/>
  <c r="D13" i="152"/>
  <c r="F12" i="152"/>
  <c r="D12" i="152"/>
  <c r="E12" i="152"/>
  <c r="G12" i="152" s="1"/>
  <c r="D11" i="152"/>
  <c r="E11" i="152"/>
  <c r="G11" i="152" s="1"/>
  <c r="F11" i="152"/>
  <c r="D10" i="152"/>
  <c r="F10" i="152"/>
  <c r="E10" i="152"/>
  <c r="G10" i="152" s="1"/>
  <c r="E9" i="152"/>
  <c r="G9" i="152" s="1"/>
  <c r="F9" i="152"/>
  <c r="D9" i="152"/>
  <c r="D8" i="152"/>
  <c r="F8" i="152"/>
  <c r="E8" i="152"/>
  <c r="G8" i="152" s="1"/>
  <c r="F6" i="152"/>
  <c r="F7" i="152"/>
  <c r="E7" i="152"/>
  <c r="G7" i="152" s="1"/>
  <c r="E6" i="152"/>
  <c r="G6" i="152" s="1"/>
  <c r="D7" i="152"/>
  <c r="D6" i="152"/>
  <c r="F5" i="152"/>
  <c r="D5" i="152"/>
  <c r="Q14" i="151"/>
  <c r="Q13" i="151"/>
  <c r="Q10" i="151"/>
  <c r="Q8" i="151"/>
  <c r="Q7" i="151"/>
  <c r="Q16" i="151"/>
  <c r="Q6" i="151"/>
  <c r="Q12" i="151"/>
  <c r="Q11" i="151"/>
  <c r="Q9" i="151"/>
  <c r="Q17" i="151"/>
  <c r="Q15" i="151"/>
  <c r="Q5" i="151"/>
  <c r="O13" i="151"/>
  <c r="O12" i="151"/>
  <c r="O11" i="151"/>
  <c r="O10" i="151"/>
  <c r="O8" i="151"/>
  <c r="O7" i="151"/>
  <c r="O6" i="151"/>
  <c r="O14" i="151"/>
  <c r="O9" i="151"/>
  <c r="O17" i="151"/>
  <c r="O16" i="151"/>
  <c r="O15" i="151"/>
  <c r="O5" i="151"/>
  <c r="S5" i="151" s="1"/>
  <c r="X5" i="151" s="1"/>
  <c r="Z5" i="151" s="1"/>
  <c r="AC5" i="151"/>
  <c r="AF5" i="151"/>
  <c r="AG5" i="151"/>
  <c r="AI5" i="151" s="1"/>
  <c r="AH5" i="151"/>
  <c r="AB5" i="151" a="1"/>
  <c r="AP5" i="154" l="1"/>
  <c r="AK6" i="154"/>
  <c r="AM5" i="154"/>
  <c r="G5" i="152"/>
  <c r="E48" i="152"/>
  <c r="AB5" i="151"/>
  <c r="AD5" i="151" s="1"/>
  <c r="S6" i="151"/>
  <c r="AN5" i="154" a="1"/>
  <c r="AO5" i="154" a="1"/>
  <c r="B13" i="45" l="1"/>
  <c r="C13" i="45"/>
  <c r="AO5" i="154"/>
  <c r="AO6" i="154" s="1"/>
  <c r="AN5" i="154"/>
  <c r="E13" i="45" s="1"/>
  <c r="AM6" i="154"/>
  <c r="AQ3" i="154" s="1"/>
  <c r="AQ5" i="154"/>
  <c r="X6" i="151"/>
  <c r="Z6" i="151" s="1"/>
  <c r="AC6" i="151"/>
  <c r="AF6" i="151"/>
  <c r="AG6" i="151"/>
  <c r="AI6" i="151" s="1"/>
  <c r="AH6" i="151"/>
  <c r="AB6" i="151" a="1"/>
  <c r="AN6" i="154" l="1"/>
  <c r="D13" i="45"/>
  <c r="O13" i="45"/>
  <c r="AQ13" i="45"/>
  <c r="AB6" i="151"/>
  <c r="AD6" i="151" s="1"/>
  <c r="S7" i="151"/>
  <c r="Q13" i="45" a="1"/>
  <c r="P13" i="45" a="1"/>
  <c r="AB7" i="151" a="1"/>
  <c r="Q13" i="45" l="1"/>
  <c r="P13" i="45"/>
  <c r="AB13" i="45"/>
  <c r="AC13" i="45"/>
  <c r="X7" i="151"/>
  <c r="Z7" i="151" s="1"/>
  <c r="AB7" i="151"/>
  <c r="AD7" i="151" s="1"/>
  <c r="AC7" i="151"/>
  <c r="AF7" i="151"/>
  <c r="AG7" i="151"/>
  <c r="AI7" i="151" s="1"/>
  <c r="AH7" i="151"/>
  <c r="AD13" i="45" a="1"/>
  <c r="R13" i="45" a="1"/>
  <c r="AD13" i="45" l="1"/>
  <c r="R13" i="45"/>
  <c r="S8" i="151"/>
  <c r="AB8" i="151" a="1"/>
  <c r="X8" i="151" l="1"/>
  <c r="Z8" i="151" s="1"/>
  <c r="AB8" i="151"/>
  <c r="AD8" i="151" s="1"/>
  <c r="AC8" i="151"/>
  <c r="AF8" i="151"/>
  <c r="AG8" i="151"/>
  <c r="AI8" i="151" s="1"/>
  <c r="AH8" i="151"/>
  <c r="S9" i="151"/>
  <c r="AB9" i="151" a="1"/>
  <c r="X9" i="151" l="1"/>
  <c r="Z9" i="151" s="1"/>
  <c r="AB9" i="151"/>
  <c r="AD9" i="151" s="1"/>
  <c r="AC9" i="151"/>
  <c r="AF9" i="151"/>
  <c r="AG9" i="151"/>
  <c r="AI9" i="151" s="1"/>
  <c r="AH9" i="151"/>
  <c r="S10" i="151"/>
  <c r="X10" i="151" s="1"/>
  <c r="Z10" i="151" s="1"/>
  <c r="AC10" i="151"/>
  <c r="AF10" i="151"/>
  <c r="AG10" i="151"/>
  <c r="AI10" i="151" s="1"/>
  <c r="AH10" i="151"/>
  <c r="S11" i="151"/>
  <c r="X11" i="151" s="1"/>
  <c r="Z11" i="151" s="1"/>
  <c r="AC11" i="151"/>
  <c r="AF11" i="151"/>
  <c r="AG11" i="151"/>
  <c r="AI11" i="151" s="1"/>
  <c r="AH11" i="151"/>
  <c r="S12" i="151"/>
  <c r="X12" i="151" s="1"/>
  <c r="Z12" i="151" s="1"/>
  <c r="AC12" i="151"/>
  <c r="AF12" i="151"/>
  <c r="AG12" i="151"/>
  <c r="AI12" i="151" s="1"/>
  <c r="AH12" i="151"/>
  <c r="S13" i="151"/>
  <c r="X13" i="151" s="1"/>
  <c r="Z13" i="151" s="1"/>
  <c r="AC13" i="151"/>
  <c r="AF13" i="151"/>
  <c r="AG13" i="151"/>
  <c r="AI13" i="151" s="1"/>
  <c r="AH13" i="151"/>
  <c r="S14" i="151"/>
  <c r="X14" i="151" s="1"/>
  <c r="Z14" i="151" s="1"/>
  <c r="AC14" i="151"/>
  <c r="AF14" i="151"/>
  <c r="AG14" i="151"/>
  <c r="AI14" i="151" s="1"/>
  <c r="AH14" i="151"/>
  <c r="S15" i="151"/>
  <c r="X15" i="151" s="1"/>
  <c r="Z15" i="151" s="1"/>
  <c r="AC15" i="151"/>
  <c r="AF15" i="151"/>
  <c r="AG15" i="151"/>
  <c r="AI15" i="151" s="1"/>
  <c r="AH15" i="151"/>
  <c r="S16" i="151"/>
  <c r="X16" i="151" s="1"/>
  <c r="Z16" i="151" s="1"/>
  <c r="AC16" i="151"/>
  <c r="AF16" i="151"/>
  <c r="AG16" i="151"/>
  <c r="AI16" i="151" s="1"/>
  <c r="AH16" i="151"/>
  <c r="S17" i="151"/>
  <c r="X17" i="151" s="1"/>
  <c r="Z17" i="151" s="1"/>
  <c r="AC17" i="151"/>
  <c r="AF17" i="151"/>
  <c r="AG17" i="151"/>
  <c r="AI17" i="151" s="1"/>
  <c r="AH17" i="151"/>
  <c r="J18" i="151"/>
  <c r="I18" i="151"/>
  <c r="F18" i="151"/>
  <c r="E18" i="151"/>
  <c r="D18" i="151"/>
  <c r="H17" i="151"/>
  <c r="H16" i="151"/>
  <c r="H15" i="151"/>
  <c r="H14" i="151"/>
  <c r="H13" i="151"/>
  <c r="H12" i="151"/>
  <c r="H11" i="151"/>
  <c r="H10" i="151"/>
  <c r="H9" i="151"/>
  <c r="H8" i="151"/>
  <c r="H7" i="151"/>
  <c r="H6" i="151"/>
  <c r="H5" i="151"/>
  <c r="C6" i="148"/>
  <c r="E6" i="148"/>
  <c r="AB11" i="151" a="1"/>
  <c r="AK17" i="151" a="1"/>
  <c r="AB12" i="151" a="1"/>
  <c r="AB15" i="151" a="1"/>
  <c r="AK10" i="151" a="1"/>
  <c r="AK16" i="151" a="1"/>
  <c r="AK12" i="151" a="1"/>
  <c r="AK11" i="151" a="1"/>
  <c r="AB14" i="151" a="1"/>
  <c r="AB16" i="151" a="1"/>
  <c r="AB13" i="151" a="1"/>
  <c r="AK14" i="151" a="1"/>
  <c r="AB17" i="151" a="1"/>
  <c r="AK13" i="151" a="1"/>
  <c r="AK9" i="151" a="1"/>
  <c r="AK15" i="151" a="1"/>
  <c r="K12" i="64" a="1"/>
  <c r="AB10" i="151" a="1"/>
  <c r="K13" i="64" a="1"/>
  <c r="AB15" i="151" l="1"/>
  <c r="AD15" i="151" s="1"/>
  <c r="AB17" i="151"/>
  <c r="AD17" i="151" s="1"/>
  <c r="AB11" i="151"/>
  <c r="AD11" i="151" s="1"/>
  <c r="AB16" i="151"/>
  <c r="AD16" i="151" s="1"/>
  <c r="AK10" i="151"/>
  <c r="AJ10" i="151" s="1"/>
  <c r="AK9" i="151"/>
  <c r="AJ9" i="151" s="1"/>
  <c r="AK16" i="151"/>
  <c r="AJ16" i="151" s="1"/>
  <c r="AB12" i="151"/>
  <c r="AD12" i="151" s="1"/>
  <c r="AK13" i="151"/>
  <c r="AJ13" i="151" s="1"/>
  <c r="AB13" i="151"/>
  <c r="AD13" i="151" s="1"/>
  <c r="AK17" i="151"/>
  <c r="AJ17" i="151" s="1"/>
  <c r="AK12" i="151"/>
  <c r="AJ12" i="151" s="1"/>
  <c r="AK14" i="151"/>
  <c r="AJ14" i="151" s="1"/>
  <c r="AB10" i="151"/>
  <c r="AD10" i="151" s="1"/>
  <c r="AB14" i="151"/>
  <c r="AD14" i="151" s="1"/>
  <c r="AK11" i="151"/>
  <c r="AJ11" i="151" s="1"/>
  <c r="AK15" i="151"/>
  <c r="AJ15" i="151" s="1"/>
  <c r="S18" i="151"/>
  <c r="K13" i="64"/>
  <c r="K12" i="64"/>
  <c r="S16" i="120"/>
  <c r="J16" i="120"/>
  <c r="I16" i="120"/>
  <c r="S15" i="120"/>
  <c r="J15" i="120"/>
  <c r="I15" i="120"/>
  <c r="S14" i="120"/>
  <c r="J14" i="120"/>
  <c r="I14" i="120"/>
  <c r="S13" i="120"/>
  <c r="J13" i="120"/>
  <c r="I13" i="120"/>
  <c r="S12" i="120"/>
  <c r="J12" i="120"/>
  <c r="I12" i="120"/>
  <c r="S11" i="120"/>
  <c r="J11" i="120"/>
  <c r="I11" i="120"/>
  <c r="S10" i="120"/>
  <c r="J10" i="120"/>
  <c r="I10" i="120"/>
  <c r="S9" i="120"/>
  <c r="J9" i="120"/>
  <c r="I9" i="120"/>
  <c r="S8" i="120"/>
  <c r="J8" i="120"/>
  <c r="I8" i="120"/>
  <c r="S7" i="120"/>
  <c r="J7" i="120"/>
  <c r="I7" i="120"/>
  <c r="Y10" i="144"/>
  <c r="X10" i="144"/>
  <c r="W10" i="144"/>
  <c r="S10" i="144"/>
  <c r="R10" i="144"/>
  <c r="Q10" i="144"/>
  <c r="P10" i="144"/>
  <c r="T10" i="144" s="1"/>
  <c r="H10" i="144"/>
  <c r="Y9" i="144"/>
  <c r="X9" i="144"/>
  <c r="W9" i="144"/>
  <c r="S9" i="144"/>
  <c r="R9" i="144"/>
  <c r="Q9" i="144"/>
  <c r="P9" i="144"/>
  <c r="T9" i="144" s="1"/>
  <c r="H9" i="144"/>
  <c r="F40" i="147"/>
  <c r="F20" i="147"/>
  <c r="S7" i="144"/>
  <c r="S8" i="144"/>
  <c r="S6" i="144"/>
  <c r="Y7" i="144"/>
  <c r="Y8" i="144"/>
  <c r="Y6" i="144"/>
  <c r="X7" i="144"/>
  <c r="X8" i="144"/>
  <c r="X6" i="144"/>
  <c r="J11" i="144"/>
  <c r="H7" i="144"/>
  <c r="H8" i="144"/>
  <c r="H6" i="144"/>
  <c r="R7" i="144"/>
  <c r="R8" i="144"/>
  <c r="R6" i="144"/>
  <c r="Q7" i="144"/>
  <c r="Q8" i="144"/>
  <c r="Q6" i="144"/>
  <c r="P7" i="144"/>
  <c r="T7" i="144" s="1"/>
  <c r="P8" i="144"/>
  <c r="T8" i="144" s="1"/>
  <c r="P6" i="144"/>
  <c r="T6" i="144" s="1"/>
  <c r="W6" i="144"/>
  <c r="I11" i="144"/>
  <c r="D11" i="144"/>
  <c r="C11" i="144"/>
  <c r="W8" i="144"/>
  <c r="W7" i="144"/>
  <c r="I18" i="107"/>
  <c r="H7" i="104"/>
  <c r="L12" i="118"/>
  <c r="K12" i="118"/>
  <c r="F18" i="107"/>
  <c r="AH17" i="107"/>
  <c r="AG17" i="107"/>
  <c r="AF17" i="107"/>
  <c r="AC17" i="107"/>
  <c r="R17" i="107"/>
  <c r="O17" i="107"/>
  <c r="S17" i="107" s="1"/>
  <c r="N17" i="107"/>
  <c r="Q17" i="107" s="1"/>
  <c r="M17" i="107"/>
  <c r="H17" i="107"/>
  <c r="AH16" i="107"/>
  <c r="AG16" i="107"/>
  <c r="AF16" i="107"/>
  <c r="AC16" i="107"/>
  <c r="R16" i="107"/>
  <c r="O16" i="107"/>
  <c r="N16" i="107"/>
  <c r="Q16" i="107" s="1"/>
  <c r="M16" i="107"/>
  <c r="H16" i="107"/>
  <c r="AH15" i="107"/>
  <c r="AG15" i="107"/>
  <c r="AF15" i="107"/>
  <c r="AC15" i="107"/>
  <c r="R15" i="107"/>
  <c r="O15" i="107"/>
  <c r="S15" i="107" s="1"/>
  <c r="N15" i="107"/>
  <c r="Q15" i="107" s="1"/>
  <c r="M15" i="107"/>
  <c r="H15" i="107"/>
  <c r="AH14" i="107"/>
  <c r="AG14" i="107"/>
  <c r="AF14" i="107"/>
  <c r="AC14" i="107"/>
  <c r="R14" i="107"/>
  <c r="O14" i="107"/>
  <c r="N14" i="107"/>
  <c r="Q14" i="107" s="1"/>
  <c r="M14" i="107"/>
  <c r="H14" i="107"/>
  <c r="AH13" i="107"/>
  <c r="AG13" i="107"/>
  <c r="AF13" i="107"/>
  <c r="AC13" i="107"/>
  <c r="R13" i="107"/>
  <c r="O13" i="107"/>
  <c r="S13" i="107" s="1"/>
  <c r="N13" i="107"/>
  <c r="Q13" i="107" s="1"/>
  <c r="M13" i="107"/>
  <c r="H13" i="107"/>
  <c r="AH12" i="107"/>
  <c r="AG12" i="107"/>
  <c r="AF12" i="107"/>
  <c r="AC12" i="107"/>
  <c r="R12" i="107"/>
  <c r="O12" i="107"/>
  <c r="N12" i="107"/>
  <c r="Q12" i="107" s="1"/>
  <c r="M12" i="107"/>
  <c r="H12" i="107"/>
  <c r="AH11" i="107"/>
  <c r="AG11" i="107"/>
  <c r="AF11" i="107"/>
  <c r="AC11" i="107"/>
  <c r="R11" i="107"/>
  <c r="O11" i="107"/>
  <c r="S11" i="107" s="1"/>
  <c r="N11" i="107"/>
  <c r="Q11" i="107" s="1"/>
  <c r="M11" i="107"/>
  <c r="H11" i="107"/>
  <c r="AH10" i="107"/>
  <c r="AG10" i="107"/>
  <c r="AF10" i="107"/>
  <c r="AC10" i="107"/>
  <c r="R10" i="107"/>
  <c r="O10" i="107"/>
  <c r="S10" i="107" s="1"/>
  <c r="N10" i="107"/>
  <c r="Q10" i="107" s="1"/>
  <c r="M10" i="107"/>
  <c r="H10" i="107"/>
  <c r="AH9" i="107"/>
  <c r="AG9" i="107"/>
  <c r="AF9" i="107"/>
  <c r="AC9" i="107"/>
  <c r="R9" i="107"/>
  <c r="O9" i="107"/>
  <c r="N9" i="107"/>
  <c r="Q9" i="107" s="1"/>
  <c r="M9" i="107"/>
  <c r="H9" i="107"/>
  <c r="AH8" i="107"/>
  <c r="AG8" i="107"/>
  <c r="AF8" i="107"/>
  <c r="AC8" i="107"/>
  <c r="R8" i="107"/>
  <c r="O8" i="107"/>
  <c r="S8" i="107" s="1"/>
  <c r="N8" i="107"/>
  <c r="Q8" i="107" s="1"/>
  <c r="M8" i="107"/>
  <c r="H8" i="107"/>
  <c r="W6" i="104"/>
  <c r="X6" i="104"/>
  <c r="V6" i="104"/>
  <c r="AF6" i="107"/>
  <c r="AF7" i="107"/>
  <c r="AF5" i="107"/>
  <c r="AH7" i="107"/>
  <c r="AG7" i="107"/>
  <c r="AC7" i="107"/>
  <c r="R7" i="107"/>
  <c r="O7" i="107"/>
  <c r="N7" i="107"/>
  <c r="Q7" i="107" s="1"/>
  <c r="M7" i="107"/>
  <c r="H7" i="107"/>
  <c r="H6" i="107"/>
  <c r="M6" i="107"/>
  <c r="N6" i="107"/>
  <c r="Q6" i="107" s="1"/>
  <c r="O6" i="107"/>
  <c r="S6" i="107" s="1"/>
  <c r="R6" i="107"/>
  <c r="AC6" i="107"/>
  <c r="AG6" i="107"/>
  <c r="AH6" i="107"/>
  <c r="S26" i="105"/>
  <c r="L4" i="116" a="1"/>
  <c r="AT13" i="45" l="1"/>
  <c r="AW13" i="45" s="1"/>
  <c r="AH13" i="45"/>
  <c r="V13" i="45"/>
  <c r="AI13" i="45"/>
  <c r="W13" i="45"/>
  <c r="T5" i="151"/>
  <c r="T6" i="151"/>
  <c r="T7" i="151"/>
  <c r="T8" i="151"/>
  <c r="T9" i="151"/>
  <c r="T10" i="151"/>
  <c r="T11" i="151"/>
  <c r="T12" i="151"/>
  <c r="T13" i="151"/>
  <c r="T14" i="151"/>
  <c r="T15" i="151"/>
  <c r="T16" i="151"/>
  <c r="T17" i="151"/>
  <c r="U10" i="144"/>
  <c r="Z10" i="144"/>
  <c r="U9" i="144"/>
  <c r="Z9" i="144"/>
  <c r="U7" i="144"/>
  <c r="U6" i="144"/>
  <c r="U8" i="144"/>
  <c r="T11" i="144"/>
  <c r="Z6" i="144"/>
  <c r="Z7" i="144"/>
  <c r="Z8" i="144"/>
  <c r="P6" i="107"/>
  <c r="P13" i="107"/>
  <c r="P11" i="107"/>
  <c r="P8" i="107"/>
  <c r="P17" i="107"/>
  <c r="P10" i="107"/>
  <c r="P15" i="107"/>
  <c r="AI16" i="107"/>
  <c r="L4" i="116"/>
  <c r="AI13" i="107"/>
  <c r="Y6" i="104"/>
  <c r="AI15" i="107"/>
  <c r="AI12" i="107"/>
  <c r="AI17" i="107"/>
  <c r="AI11" i="107"/>
  <c r="AI9" i="107"/>
  <c r="AI14" i="107"/>
  <c r="X8" i="107"/>
  <c r="Z8" i="107" s="1"/>
  <c r="X10" i="107"/>
  <c r="Z10" i="107" s="1"/>
  <c r="X11" i="107"/>
  <c r="Z11" i="107" s="1"/>
  <c r="S14" i="107"/>
  <c r="S12" i="107"/>
  <c r="X13" i="107"/>
  <c r="Z13" i="107" s="1"/>
  <c r="S9" i="107"/>
  <c r="X15" i="107"/>
  <c r="Z15" i="107" s="1"/>
  <c r="X17" i="107"/>
  <c r="Z17" i="107" s="1"/>
  <c r="AI8" i="107"/>
  <c r="AI10" i="107"/>
  <c r="AI7" i="107"/>
  <c r="S16" i="107"/>
  <c r="S7" i="107"/>
  <c r="AI6" i="107"/>
  <c r="X6" i="107"/>
  <c r="Z6" i="107" s="1"/>
  <c r="R6" i="129"/>
  <c r="Q6" i="129"/>
  <c r="O6" i="129"/>
  <c r="J6" i="129"/>
  <c r="I6" i="129"/>
  <c r="H6" i="129"/>
  <c r="G6" i="129"/>
  <c r="F6" i="129"/>
  <c r="Q5" i="129"/>
  <c r="H5" i="129"/>
  <c r="G5" i="129"/>
  <c r="AB15" i="107" a="1"/>
  <c r="AB10" i="107" a="1"/>
  <c r="AB17" i="107" a="1"/>
  <c r="AA7" i="144" a="1"/>
  <c r="AA9" i="144" a="1"/>
  <c r="AB6" i="107" a="1"/>
  <c r="AB13" i="107" a="1"/>
  <c r="AB11" i="107" a="1"/>
  <c r="AA8" i="144" a="1"/>
  <c r="AA10" i="144" a="1"/>
  <c r="AB8" i="107" a="1"/>
  <c r="AA6" i="144" a="1"/>
  <c r="AM13" i="45" l="1"/>
  <c r="AJ13" i="45"/>
  <c r="X13" i="45"/>
  <c r="AA13" i="45"/>
  <c r="U16" i="151"/>
  <c r="V16" i="151"/>
  <c r="U13" i="151"/>
  <c r="V13" i="151"/>
  <c r="U10" i="151"/>
  <c r="V10" i="151"/>
  <c r="U9" i="151"/>
  <c r="V9" i="151"/>
  <c r="U7" i="151"/>
  <c r="V7" i="151"/>
  <c r="U17" i="151"/>
  <c r="V17" i="151"/>
  <c r="U15" i="151"/>
  <c r="V15" i="151"/>
  <c r="U14" i="151"/>
  <c r="V14" i="151"/>
  <c r="U12" i="151"/>
  <c r="V12" i="151"/>
  <c r="U11" i="151"/>
  <c r="V11" i="151"/>
  <c r="U8" i="151"/>
  <c r="V8" i="151"/>
  <c r="U6" i="151"/>
  <c r="V6" i="151"/>
  <c r="U5" i="151"/>
  <c r="V5" i="151"/>
  <c r="AD18" i="151"/>
  <c r="AA10" i="144"/>
  <c r="V10" i="144"/>
  <c r="AA9" i="144"/>
  <c r="V9" i="144"/>
  <c r="V7" i="144"/>
  <c r="V6" i="144"/>
  <c r="V8" i="144"/>
  <c r="AA6" i="144"/>
  <c r="AA8" i="144"/>
  <c r="AA7" i="144"/>
  <c r="AB15" i="107"/>
  <c r="AB13" i="107"/>
  <c r="AB17" i="107"/>
  <c r="AB6" i="107"/>
  <c r="AD6" i="107" s="1"/>
  <c r="AB10" i="107"/>
  <c r="AB8" i="107"/>
  <c r="AB11" i="107"/>
  <c r="AD11" i="107" s="1"/>
  <c r="X12" i="107"/>
  <c r="Z12" i="107" s="1"/>
  <c r="P12" i="107"/>
  <c r="X14" i="107"/>
  <c r="Z14" i="107" s="1"/>
  <c r="P14" i="107"/>
  <c r="X9" i="107"/>
  <c r="Z9" i="107" s="1"/>
  <c r="P9" i="107"/>
  <c r="X7" i="107"/>
  <c r="Z7" i="107" s="1"/>
  <c r="P7" i="107"/>
  <c r="X16" i="107"/>
  <c r="Z16" i="107" s="1"/>
  <c r="P16" i="107"/>
  <c r="G4" i="124"/>
  <c r="E11" i="124"/>
  <c r="F11" i="124"/>
  <c r="F4" i="124"/>
  <c r="E4" i="124"/>
  <c r="T6" i="120"/>
  <c r="S6" i="120"/>
  <c r="Q6" i="120"/>
  <c r="L6" i="120"/>
  <c r="K6" i="120"/>
  <c r="J6" i="120"/>
  <c r="I6" i="120"/>
  <c r="G6" i="120"/>
  <c r="E6" i="120"/>
  <c r="F6" i="120" s="1"/>
  <c r="R6" i="120" s="1"/>
  <c r="D6" i="120"/>
  <c r="H6" i="120" s="1"/>
  <c r="S5" i="120"/>
  <c r="J5" i="120"/>
  <c r="I5" i="120"/>
  <c r="AB12" i="118"/>
  <c r="AA12" i="118"/>
  <c r="U12" i="118"/>
  <c r="T12" i="118"/>
  <c r="I12" i="118"/>
  <c r="H12" i="118"/>
  <c r="G12" i="118"/>
  <c r="I10" i="116"/>
  <c r="J10" i="116"/>
  <c r="K10" i="116"/>
  <c r="I11" i="116"/>
  <c r="J11" i="116"/>
  <c r="K11" i="116"/>
  <c r="I12" i="116"/>
  <c r="J12" i="116"/>
  <c r="K12" i="116"/>
  <c r="AB8" i="144" a="1"/>
  <c r="AB10" i="144" a="1"/>
  <c r="AC8" i="144" a="1"/>
  <c r="AC6" i="144" a="1"/>
  <c r="AB6" i="144" a="1"/>
  <c r="P12" i="118" a="1"/>
  <c r="AB14" i="107" a="1"/>
  <c r="AB12" i="107" a="1"/>
  <c r="AC7" i="144" a="1"/>
  <c r="AB7" i="144" a="1"/>
  <c r="AB9" i="107" a="1"/>
  <c r="AB9" i="144" a="1"/>
  <c r="AC10" i="144" a="1"/>
  <c r="AC9" i="144" a="1"/>
  <c r="AB16" i="107" a="1"/>
  <c r="AB7" i="107" a="1"/>
  <c r="AN13" i="45" l="1"/>
  <c r="AO13" i="45"/>
  <c r="AP13" i="45"/>
  <c r="W12" i="151"/>
  <c r="W8" i="151"/>
  <c r="W16" i="151"/>
  <c r="W11" i="151"/>
  <c r="W14" i="151"/>
  <c r="W17" i="151"/>
  <c r="W7" i="151"/>
  <c r="W13" i="151"/>
  <c r="W5" i="151"/>
  <c r="W10" i="151"/>
  <c r="W6" i="151"/>
  <c r="W15" i="151"/>
  <c r="W9" i="151"/>
  <c r="U18" i="151"/>
  <c r="AB10" i="144"/>
  <c r="AC10" i="144"/>
  <c r="AB9" i="144"/>
  <c r="AC9" i="144"/>
  <c r="AB8" i="144"/>
  <c r="AC8" i="144"/>
  <c r="AC6" i="144"/>
  <c r="AB6" i="144"/>
  <c r="AB7" i="144"/>
  <c r="AC7" i="144"/>
  <c r="AA11" i="144"/>
  <c r="AB16" i="107"/>
  <c r="AB7" i="107"/>
  <c r="AB9" i="107"/>
  <c r="AB14" i="107"/>
  <c r="AB12" i="107"/>
  <c r="V12" i="118"/>
  <c r="L11" i="116"/>
  <c r="M6" i="120"/>
  <c r="N6" i="120" s="1"/>
  <c r="O6" i="120" s="1"/>
  <c r="P6" i="120" s="1"/>
  <c r="P12" i="118"/>
  <c r="L12" i="116"/>
  <c r="L10" i="116"/>
  <c r="AM13" i="151" a="1"/>
  <c r="AM9" i="151" a="1"/>
  <c r="AM10" i="151" a="1"/>
  <c r="AK8" i="151" a="1"/>
  <c r="AM15" i="151" a="1"/>
  <c r="AK6" i="151" a="1"/>
  <c r="AK7" i="151" a="1"/>
  <c r="AM16" i="151" a="1"/>
  <c r="AM12" i="151" a="1"/>
  <c r="AM14" i="151" a="1"/>
  <c r="AK5" i="151" a="1"/>
  <c r="AK7" i="151" l="1"/>
  <c r="AJ7" i="151" s="1"/>
  <c r="AK8" i="151"/>
  <c r="AJ8" i="151" s="1"/>
  <c r="AK6" i="151"/>
  <c r="AJ6" i="151" s="1"/>
  <c r="AK5" i="151"/>
  <c r="AJ5" i="151" s="1"/>
  <c r="AM15" i="151"/>
  <c r="AM12" i="151"/>
  <c r="AM14" i="151"/>
  <c r="AM16" i="151"/>
  <c r="AM10" i="151"/>
  <c r="AM13" i="151"/>
  <c r="AM9" i="151"/>
  <c r="W18" i="151"/>
  <c r="AL15" i="151"/>
  <c r="AL12" i="151"/>
  <c r="AL14" i="151"/>
  <c r="AL16" i="151"/>
  <c r="AL10" i="151"/>
  <c r="AL13" i="151"/>
  <c r="AL9" i="151"/>
  <c r="AD10" i="144"/>
  <c r="AD9" i="144"/>
  <c r="AD7" i="144"/>
  <c r="AD6" i="144"/>
  <c r="AC11" i="144"/>
  <c r="AD8" i="144"/>
  <c r="AB11" i="144"/>
  <c r="L13" i="116"/>
  <c r="K4" i="116" s="1"/>
  <c r="AM11" i="151" a="1"/>
  <c r="AN12" i="151" a="1"/>
  <c r="AN9" i="151" a="1"/>
  <c r="AN16" i="151" a="1"/>
  <c r="AN14" i="151" a="1"/>
  <c r="AN15" i="151" a="1"/>
  <c r="AN13" i="151" a="1"/>
  <c r="AM7" i="151" a="1"/>
  <c r="AN10" i="151" a="1"/>
  <c r="AM5" i="151" a="1"/>
  <c r="AM17" i="151" a="1"/>
  <c r="AM8" i="151" a="1"/>
  <c r="AM6" i="151" a="1"/>
  <c r="AN15" i="151" l="1"/>
  <c r="AM11" i="151"/>
  <c r="AN9" i="151"/>
  <c r="AN13" i="151"/>
  <c r="AN10" i="151"/>
  <c r="AM7" i="151"/>
  <c r="AN16" i="151"/>
  <c r="AM8" i="151"/>
  <c r="AN14" i="151"/>
  <c r="AM17" i="151"/>
  <c r="AM5" i="151"/>
  <c r="AN12" i="151"/>
  <c r="AM6" i="151"/>
  <c r="AO15" i="151"/>
  <c r="AL11" i="151"/>
  <c r="AO9" i="151"/>
  <c r="AO13" i="151"/>
  <c r="AO10" i="151"/>
  <c r="AL7" i="151"/>
  <c r="AO16" i="151"/>
  <c r="AL8" i="151"/>
  <c r="AO14" i="151"/>
  <c r="AL17" i="151"/>
  <c r="AL5" i="151"/>
  <c r="AO12" i="151"/>
  <c r="AL6" i="151"/>
  <c r="J4" i="116"/>
  <c r="Y5" i="111"/>
  <c r="X5" i="111"/>
  <c r="AA5" i="111" s="1"/>
  <c r="Z5" i="111" s="1"/>
  <c r="W5" i="111"/>
  <c r="V5" i="111"/>
  <c r="AI5" i="111"/>
  <c r="AH5" i="111"/>
  <c r="AJ5" i="111" s="1"/>
  <c r="AG5" i="111"/>
  <c r="F6" i="111"/>
  <c r="Q5" i="111"/>
  <c r="O5" i="111"/>
  <c r="P5" i="111" s="1"/>
  <c r="M5" i="111"/>
  <c r="N5" i="111" s="1"/>
  <c r="AL5" i="111" s="1"/>
  <c r="L5" i="111"/>
  <c r="AR5" i="111"/>
  <c r="AQ8" i="45"/>
  <c r="H5" i="107"/>
  <c r="G6" i="104"/>
  <c r="AH5" i="107"/>
  <c r="AG5" i="107"/>
  <c r="AC5" i="107"/>
  <c r="R5" i="107"/>
  <c r="O5" i="107"/>
  <c r="N5" i="107"/>
  <c r="Q5" i="107" s="1"/>
  <c r="M5" i="107"/>
  <c r="AN8" i="151" a="1"/>
  <c r="U12" i="45" a="1"/>
  <c r="AN6" i="151" a="1"/>
  <c r="AN5" i="151" a="1"/>
  <c r="AN7" i="151" a="1"/>
  <c r="AN17" i="151" a="1"/>
  <c r="C17" i="63" a="1"/>
  <c r="AN11" i="151" a="1"/>
  <c r="AM18" i="151" l="1"/>
  <c r="AN17" i="151"/>
  <c r="AN7" i="151"/>
  <c r="AN8" i="151"/>
  <c r="AN11" i="151"/>
  <c r="AN6" i="151"/>
  <c r="AN5" i="151"/>
  <c r="AO17" i="151"/>
  <c r="AO7" i="151"/>
  <c r="AO8" i="151"/>
  <c r="AO11" i="151"/>
  <c r="AO6" i="151"/>
  <c r="AL18" i="151"/>
  <c r="AO5" i="151"/>
  <c r="R5" i="111"/>
  <c r="AI5" i="107"/>
  <c r="U12" i="45"/>
  <c r="P6" i="111"/>
  <c r="C17" i="63"/>
  <c r="C18" i="63" a="1"/>
  <c r="AK5" i="111" a="1"/>
  <c r="AN18" i="151" l="1"/>
  <c r="S12" i="118"/>
  <c r="AK5" i="111"/>
  <c r="AP5" i="111" s="1"/>
  <c r="R6" i="111"/>
  <c r="Z6" i="111"/>
  <c r="AA6" i="111"/>
  <c r="N6" i="111"/>
  <c r="C18" i="63"/>
  <c r="L6" i="104"/>
  <c r="M6" i="104"/>
  <c r="N6" i="104"/>
  <c r="P6" i="104" s="1"/>
  <c r="O6" i="104"/>
  <c r="AM5" i="111" l="1"/>
  <c r="AB5" i="111"/>
  <c r="AD5" i="111"/>
  <c r="AC5" i="111"/>
  <c r="AE5" i="111" s="1"/>
  <c r="AK6" i="111"/>
  <c r="C19" i="63"/>
  <c r="C20" i="63"/>
  <c r="AO5" i="111" a="1"/>
  <c r="AN5" i="111" a="1"/>
  <c r="D5" i="129" l="1"/>
  <c r="K5" i="129" s="1"/>
  <c r="L5" i="129" s="1"/>
  <c r="M5" i="129" s="1"/>
  <c r="N5" i="129" s="1"/>
  <c r="D6" i="129"/>
  <c r="AN5" i="111"/>
  <c r="AO5" i="111"/>
  <c r="AQ5" i="111"/>
  <c r="AM6" i="111"/>
  <c r="E5" i="129" l="1"/>
  <c r="P5" i="129" s="1"/>
  <c r="E6" i="129"/>
  <c r="P6" i="129" s="1"/>
  <c r="K6" i="129"/>
  <c r="L6" i="129" s="1"/>
  <c r="M6" i="129" s="1"/>
  <c r="N6" i="129" s="1"/>
  <c r="AL6" i="111"/>
  <c r="AQ3" i="111" s="1"/>
  <c r="AO6" i="111"/>
  <c r="AN6" i="111"/>
  <c r="J18" i="107"/>
  <c r="E18" i="107"/>
  <c r="D18" i="107"/>
  <c r="C7" i="104"/>
  <c r="D7" i="104"/>
  <c r="I7" i="104"/>
  <c r="S5" i="107" l="1"/>
  <c r="P5" i="107" s="1"/>
  <c r="P7" i="104"/>
  <c r="Q6" i="104"/>
  <c r="S6" i="104" s="1"/>
  <c r="T6" i="104" s="1"/>
  <c r="AB5" i="107" a="1"/>
  <c r="AB5" i="107" l="1"/>
  <c r="S18" i="107"/>
  <c r="X5" i="107"/>
  <c r="Z5" i="107" s="1"/>
  <c r="AA6" i="104" a="1"/>
  <c r="AB6" i="104" a="1"/>
  <c r="Z7" i="104" l="1"/>
  <c r="AB6" i="104"/>
  <c r="AA6" i="104"/>
  <c r="T15" i="107"/>
  <c r="T17" i="107"/>
  <c r="T16" i="107"/>
  <c r="T14" i="107"/>
  <c r="T12" i="107"/>
  <c r="T9" i="107"/>
  <c r="T10" i="107"/>
  <c r="T8" i="107"/>
  <c r="T13" i="107"/>
  <c r="T11" i="107"/>
  <c r="T7" i="107"/>
  <c r="V7" i="107" s="1"/>
  <c r="T6" i="107"/>
  <c r="V6" i="107" s="1"/>
  <c r="T5" i="107"/>
  <c r="V5" i="107" s="1"/>
  <c r="AD6" i="104"/>
  <c r="T7" i="104"/>
  <c r="AB7" i="104" l="1"/>
  <c r="U11" i="107"/>
  <c r="V11" i="107"/>
  <c r="U8" i="107"/>
  <c r="V8" i="107"/>
  <c r="U14" i="107"/>
  <c r="V14" i="107"/>
  <c r="U13" i="107"/>
  <c r="V13" i="107"/>
  <c r="U16" i="107"/>
  <c r="V16" i="107"/>
  <c r="U17" i="107"/>
  <c r="V17" i="107"/>
  <c r="U10" i="107"/>
  <c r="V10" i="107"/>
  <c r="U9" i="107"/>
  <c r="V9" i="107"/>
  <c r="U12" i="107"/>
  <c r="V12" i="107"/>
  <c r="U15" i="107"/>
  <c r="V15" i="107"/>
  <c r="AD9" i="107"/>
  <c r="AD16" i="107"/>
  <c r="AD10" i="107"/>
  <c r="AD17" i="107"/>
  <c r="AD13" i="107"/>
  <c r="AD8" i="107"/>
  <c r="AD12" i="107"/>
  <c r="AD14" i="107"/>
  <c r="AD15" i="107"/>
  <c r="U7" i="107"/>
  <c r="U6" i="107"/>
  <c r="U5" i="107"/>
  <c r="W5" i="107" s="1"/>
  <c r="AC6" i="104"/>
  <c r="AK5" i="107" a="1"/>
  <c r="W15" i="107" l="1"/>
  <c r="W12" i="107"/>
  <c r="W16" i="107"/>
  <c r="W14" i="107"/>
  <c r="W10" i="107"/>
  <c r="W9" i="107"/>
  <c r="W17" i="107"/>
  <c r="W13" i="107"/>
  <c r="W8" i="107"/>
  <c r="W11" i="107"/>
  <c r="W7" i="107"/>
  <c r="AK5" i="107"/>
  <c r="AD5" i="107"/>
  <c r="W6" i="107"/>
  <c r="U18" i="107"/>
  <c r="AA7" i="104"/>
  <c r="AK14" i="107" a="1"/>
  <c r="AK13" i="107" a="1"/>
  <c r="AK9" i="107" a="1"/>
  <c r="AK8" i="107" a="1"/>
  <c r="AK10" i="107" a="1"/>
  <c r="AK15" i="107" a="1"/>
  <c r="AK17" i="107" a="1"/>
  <c r="AK7" i="107" a="1"/>
  <c r="AK11" i="107" a="1"/>
  <c r="AK12" i="107" a="1"/>
  <c r="AK16" i="107" a="1"/>
  <c r="AK6" i="107" a="1"/>
  <c r="AM5" i="107" a="1"/>
  <c r="AK8" i="107" l="1"/>
  <c r="AK13" i="107"/>
  <c r="AK17" i="107"/>
  <c r="AK9" i="107"/>
  <c r="AK12" i="107"/>
  <c r="AK11" i="107"/>
  <c r="AK10" i="107"/>
  <c r="AK14" i="107"/>
  <c r="AK16" i="107"/>
  <c r="AK15" i="107"/>
  <c r="AK7" i="107"/>
  <c r="AD7" i="107"/>
  <c r="AD18" i="107" s="1"/>
  <c r="AK6" i="107"/>
  <c r="AM5" i="107"/>
  <c r="AL5" i="107"/>
  <c r="W18" i="107"/>
  <c r="AE12" i="45"/>
  <c r="AF12" i="45"/>
  <c r="M12" i="45"/>
  <c r="L12" i="45"/>
  <c r="J12" i="45"/>
  <c r="I12" i="45"/>
  <c r="N12" i="45"/>
  <c r="AL12" i="45"/>
  <c r="Z12" i="45"/>
  <c r="AK12" i="45"/>
  <c r="Y12" i="45"/>
  <c r="AG12" i="45" a="1"/>
  <c r="AM15" i="107" a="1"/>
  <c r="AM17" i="107" a="1"/>
  <c r="AM13" i="107" a="1"/>
  <c r="AM6" i="107" a="1"/>
  <c r="AM7" i="107" a="1"/>
  <c r="AM10" i="107" a="1"/>
  <c r="AM12" i="107" a="1"/>
  <c r="AM8" i="107" a="1"/>
  <c r="AN5" i="107" a="1"/>
  <c r="AM9" i="107" a="1"/>
  <c r="AM14" i="107" a="1"/>
  <c r="AM11" i="107" a="1"/>
  <c r="AM16" i="107" a="1"/>
  <c r="AY12" i="45" l="1"/>
  <c r="BA12" i="45" s="1"/>
  <c r="AJ5" i="107"/>
  <c r="AM15" i="107"/>
  <c r="AM13" i="107"/>
  <c r="AM16" i="107"/>
  <c r="AM11" i="107"/>
  <c r="AM12" i="107"/>
  <c r="AM9" i="107"/>
  <c r="AM14" i="107"/>
  <c r="AM10" i="107"/>
  <c r="AM17" i="107"/>
  <c r="AM8" i="107"/>
  <c r="AL15" i="107"/>
  <c r="AL13" i="107"/>
  <c r="AL16" i="107"/>
  <c r="AL11" i="107"/>
  <c r="AL12" i="107"/>
  <c r="AL9" i="107"/>
  <c r="AL14" i="107"/>
  <c r="AL10" i="107"/>
  <c r="AL17" i="107"/>
  <c r="AL8" i="107"/>
  <c r="AM7" i="107"/>
  <c r="AL7" i="107"/>
  <c r="AJ7" i="107" s="1"/>
  <c r="AN5" i="107"/>
  <c r="AM6" i="107"/>
  <c r="AO5" i="107"/>
  <c r="AL6" i="107"/>
  <c r="E16" i="120" s="1"/>
  <c r="F16" i="120" s="1"/>
  <c r="R16" i="120" s="1"/>
  <c r="AV12" i="45"/>
  <c r="AU12" i="45"/>
  <c r="AG12" i="45"/>
  <c r="AS12" i="45"/>
  <c r="AQ12" i="45"/>
  <c r="AR12" i="45"/>
  <c r="AN15" i="107" a="1"/>
  <c r="AN17" i="107" a="1"/>
  <c r="AN10" i="107" a="1"/>
  <c r="AN13" i="107" a="1"/>
  <c r="AN8" i="107" a="1"/>
  <c r="AN12" i="107" a="1"/>
  <c r="AN16" i="107" a="1"/>
  <c r="AN14" i="107" a="1"/>
  <c r="AN9" i="107" a="1"/>
  <c r="AN7" i="107" a="1"/>
  <c r="AN6" i="107" a="1"/>
  <c r="AN11" i="107" a="1"/>
  <c r="AT12" i="45" l="1"/>
  <c r="AW12" i="45" s="1"/>
  <c r="E15" i="120"/>
  <c r="F15" i="120" s="1"/>
  <c r="R15" i="120" s="1"/>
  <c r="E14" i="120"/>
  <c r="F14" i="120" s="1"/>
  <c r="R14" i="120" s="1"/>
  <c r="E12" i="120"/>
  <c r="F12" i="120" s="1"/>
  <c r="R12" i="120" s="1"/>
  <c r="E13" i="120"/>
  <c r="F13" i="120" s="1"/>
  <c r="R13" i="120" s="1"/>
  <c r="E10" i="120"/>
  <c r="F10" i="120" s="1"/>
  <c r="R10" i="120" s="1"/>
  <c r="E11" i="120"/>
  <c r="F11" i="120" s="1"/>
  <c r="R11" i="120" s="1"/>
  <c r="E9" i="120"/>
  <c r="F9" i="120" s="1"/>
  <c r="R9" i="120" s="1"/>
  <c r="E7" i="120"/>
  <c r="F7" i="120" s="1"/>
  <c r="R7" i="120" s="1"/>
  <c r="E8" i="120"/>
  <c r="F8" i="120" s="1"/>
  <c r="R8" i="120" s="1"/>
  <c r="AN8" i="107"/>
  <c r="AN17" i="107"/>
  <c r="AN10" i="107"/>
  <c r="AN14" i="107"/>
  <c r="AN9" i="107"/>
  <c r="AN12" i="107"/>
  <c r="AN11" i="107"/>
  <c r="AN16" i="107"/>
  <c r="AN13" i="107"/>
  <c r="AN15" i="107"/>
  <c r="AJ8" i="107"/>
  <c r="AO8" i="107"/>
  <c r="AJ17" i="107"/>
  <c r="AO17" i="107"/>
  <c r="AJ10" i="107"/>
  <c r="AO10" i="107"/>
  <c r="AJ14" i="107"/>
  <c r="AO14" i="107"/>
  <c r="AJ9" i="107"/>
  <c r="AO9" i="107"/>
  <c r="AJ12" i="107"/>
  <c r="AO12" i="107"/>
  <c r="AJ11" i="107"/>
  <c r="AO11" i="107"/>
  <c r="AJ16" i="107"/>
  <c r="AO16" i="107"/>
  <c r="AJ13" i="107"/>
  <c r="AO13" i="107"/>
  <c r="AJ15" i="107"/>
  <c r="AO15" i="107"/>
  <c r="AM18" i="107"/>
  <c r="AN7" i="107"/>
  <c r="AO7" i="107"/>
  <c r="E5" i="120"/>
  <c r="F5" i="120" s="1"/>
  <c r="R5" i="120" s="1"/>
  <c r="AN6" i="107"/>
  <c r="AJ6" i="107"/>
  <c r="AO6" i="107"/>
  <c r="AL18" i="107"/>
  <c r="D16" i="120" l="1"/>
  <c r="H16" i="120" s="1"/>
  <c r="M16" i="120" s="1"/>
  <c r="N16" i="120" s="1"/>
  <c r="O16" i="120" s="1"/>
  <c r="P16" i="120" s="1"/>
  <c r="D15" i="120"/>
  <c r="H15" i="120" s="1"/>
  <c r="M15" i="120" s="1"/>
  <c r="N15" i="120" s="1"/>
  <c r="O15" i="120" s="1"/>
  <c r="P15" i="120" s="1"/>
  <c r="D14" i="120"/>
  <c r="H14" i="120" s="1"/>
  <c r="M14" i="120" s="1"/>
  <c r="N14" i="120" s="1"/>
  <c r="O14" i="120" s="1"/>
  <c r="P14" i="120" s="1"/>
  <c r="D13" i="120"/>
  <c r="H13" i="120" s="1"/>
  <c r="M13" i="120" s="1"/>
  <c r="N13" i="120" s="1"/>
  <c r="O13" i="120" s="1"/>
  <c r="P13" i="120" s="1"/>
  <c r="D12" i="120"/>
  <c r="H12" i="120" s="1"/>
  <c r="M12" i="120" s="1"/>
  <c r="N12" i="120" s="1"/>
  <c r="O12" i="120" s="1"/>
  <c r="P12" i="120" s="1"/>
  <c r="D11" i="120"/>
  <c r="H11" i="120" s="1"/>
  <c r="M11" i="120" s="1"/>
  <c r="N11" i="120" s="1"/>
  <c r="O11" i="120" s="1"/>
  <c r="P11" i="120" s="1"/>
  <c r="D10" i="120"/>
  <c r="H10" i="120" s="1"/>
  <c r="M10" i="120" s="1"/>
  <c r="N10" i="120" s="1"/>
  <c r="O10" i="120" s="1"/>
  <c r="P10" i="120" s="1"/>
  <c r="D8" i="120"/>
  <c r="H8" i="120" s="1"/>
  <c r="M8" i="120" s="1"/>
  <c r="N8" i="120" s="1"/>
  <c r="O8" i="120" s="1"/>
  <c r="P8" i="120" s="1"/>
  <c r="D9" i="120"/>
  <c r="H9" i="120" s="1"/>
  <c r="M9" i="120" s="1"/>
  <c r="N9" i="120" s="1"/>
  <c r="O9" i="120" s="1"/>
  <c r="P9" i="120" s="1"/>
  <c r="D7" i="120"/>
  <c r="H7" i="120" s="1"/>
  <c r="M7" i="120" s="1"/>
  <c r="N7" i="120" s="1"/>
  <c r="O7" i="120" s="1"/>
  <c r="P7" i="120" s="1"/>
  <c r="AN18" i="107"/>
  <c r="D5" i="120"/>
  <c r="H5" i="120" s="1"/>
  <c r="M5" i="120" s="1"/>
  <c r="N5" i="120" s="1"/>
  <c r="O5" i="120" s="1"/>
  <c r="P5" i="120" s="1"/>
  <c r="K12" i="45"/>
  <c r="O17" i="120" l="1"/>
  <c r="M17" i="120"/>
  <c r="O12" i="45" l="1"/>
  <c r="C14" i="45"/>
  <c r="Q12" i="45" a="1"/>
  <c r="Q12" i="45" l="1"/>
  <c r="AC12" i="45"/>
  <c r="AB12" i="45"/>
  <c r="AH12" i="45" s="1"/>
  <c r="AD12" i="45" a="1"/>
  <c r="P12" i="45" a="1"/>
  <c r="P12" i="45" l="1"/>
  <c r="V12" i="45" s="1"/>
  <c r="AD12" i="45"/>
  <c r="AW14" i="45"/>
  <c r="AT14" i="45"/>
  <c r="R12" i="45" a="1"/>
  <c r="AI12" i="45" l="1"/>
  <c r="AM12" i="45" s="1"/>
  <c r="AM14" i="45" s="1"/>
  <c r="R12" i="45"/>
  <c r="AJ12" i="45" l="1"/>
  <c r="AO12" i="45" s="1"/>
  <c r="W12" i="45"/>
  <c r="AA12" i="45" s="1"/>
  <c r="AA14" i="45" s="1"/>
  <c r="AP12" i="45"/>
  <c r="AP14" i="45" s="1"/>
  <c r="BC12" i="45"/>
  <c r="X12" i="45" l="1"/>
  <c r="AN12" i="45" s="1"/>
  <c r="AN14" i="45" s="1"/>
  <c r="BB12" i="45"/>
  <c r="AZ12" i="45"/>
  <c r="BD12" i="45" s="1"/>
  <c r="BA14" i="45" l="1"/>
  <c r="BD14" i="45"/>
  <c r="M7" i="129" l="1"/>
  <c r="K7" i="129"/>
  <c r="V13" i="118"/>
  <c r="M12" i="118" a="1"/>
  <c r="M12" i="118" l="1"/>
  <c r="B12" i="118" l="1"/>
  <c r="C12" i="118" s="1"/>
  <c r="J12" i="118" s="1"/>
  <c r="B13" i="118"/>
  <c r="X12" i="118" l="1"/>
  <c r="Z12" i="118" s="1"/>
  <c r="Z13" i="118" l="1"/>
  <c r="AC12" i="118"/>
  <c r="AC13" i="1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tc={B37CAC9B-C8DA-454B-8E05-93926FDA1639}</author>
    <author>tc={62952E3A-2DE2-4635-BEFF-E53D7C9BD751}</author>
    <author>Shraddha Patil</author>
    <author>tc={9499BA8A-1746-4DC5-8A7E-23F12BB01951}</author>
    <author>tc={F7D0549E-4995-492F-A550-4FDEA7D3D767}</author>
    <author>tc={82768F90-8BE0-45E1-A71E-9DD40AE9DEE0}</author>
  </authors>
  <commentList>
    <comment ref="B5" authorId="0" shapeId="0" xr:uid="{B37CAC9B-C8DA-454B-8E05-93926FDA1639}">
      <text>
        <t>[Threaded comment]
Your version of Excel allows you to read this threaded comment; however, any edits to it will get removed if the file is opened in a newer version of Excel. Learn more: https://go.microsoft.com/fwlink/?linkid=870924
Comment:
    Replace this with the actual source</t>
      </text>
    </comment>
    <comment ref="J9" authorId="1" shapeId="0" xr:uid="{62952E3A-2DE2-4635-BEFF-E53D7C9BD751}">
      <text>
        <t>[Threaded comment]
Your version of Excel allows you to read this threaded comment; however, any edits to it will get removed if the file is opened in a newer version of Excel. Learn more: https://go.microsoft.com/fwlink/?linkid=870924
Comment:
    Does not consider the flow</t>
      </text>
    </comment>
    <comment ref="E10" authorId="2" shapeId="0" xr:uid="{C7B128D3-AF17-AD45-A1A2-438A88B9C729}">
      <text>
        <r>
          <rPr>
            <b/>
            <sz val="10"/>
            <color rgb="FF000000"/>
            <rFont val="Tahoma"/>
            <family val="2"/>
          </rPr>
          <t xml:space="preserve">Rushikesh Patil:
</t>
        </r>
        <r>
          <rPr>
            <sz val="10"/>
            <color rgb="FF000000"/>
            <rFont val="Tahoma"/>
            <family val="2"/>
          </rPr>
          <t>Still to be automated.</t>
        </r>
      </text>
    </comment>
    <comment ref="J10" authorId="3" shapeId="0" xr:uid="{9499BA8A-1746-4DC5-8A7E-23F12BB01951}">
      <text>
        <t>[Threaded comment]
Your version of Excel allows you to read this threaded comment; however, any edits to it will get removed if the file is opened in a newer version of Excel. Learn more: https://go.microsoft.com/fwlink/?linkid=870924
Comment:
    Considers the balance flow</t>
      </text>
    </comment>
    <comment ref="B23" authorId="4" shapeId="0" xr:uid="{F7D0549E-4995-492F-A550-4FDEA7D3D767}">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 ref="B30" authorId="5" shapeId="0" xr:uid="{82768F90-8BE0-45E1-A71E-9DD40AE9DEE0}">
      <text>
        <t>[Threaded comment]
Your version of Excel allows you to read this threaded comment; however, any edits to it will get removed if the file is opened in a newer version of Excel. Learn more: https://go.microsoft.com/fwlink/?linkid=870924
Comment:
    PM to manually select various options. These options will be used in the generate email function.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tc={31EAC5C4-25A3-4A67-82D4-B042C37CCEA9}</author>
    <author>tc={A66CCCA1-94A6-43AC-922B-E9352551A14B}</author>
    <author>tc={BF83FFD4-DABD-4405-9220-3AA1B9C49690}</author>
    <author>tc={75E461AD-46C1-4439-9A31-EA1A4EF9D6C2}</author>
    <author>tc={2FF02F18-3F27-400C-8051-1D6953C7273F}</author>
    <author>tc={989ED1B4-CAE6-409C-920C-C6CFEEE395A1}</author>
    <author>tc={3A8A7B81-F443-4A01-8322-316F92C363AC}</author>
    <author>tc={BCF7DC4E-E914-468D-BDC2-C08877BB67B6}</author>
    <author>tc={7F185DA6-DB3E-4BFB-B34A-655772AA1EE7}</author>
    <author>tc={2100AEBD-D5E7-4E2B-86D2-E5575750B200}</author>
  </authors>
  <commentList>
    <comment ref="AR3" authorId="0" shapeId="0" xr:uid="{31EAC5C4-25A3-4A67-82D4-B042C37CCEA9}">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A66CCCA1-94A6-43AC-922B-E9352551A14B}">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D4" authorId="2" shapeId="0" xr:uid="{BF83FFD4-DABD-4405-9220-3AA1B9C4969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E4" authorId="3" shapeId="0" xr:uid="{75E461AD-46C1-4439-9A31-EA1A4EF9D6C2}">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F4" authorId="4" shapeId="0" xr:uid="{2FF02F18-3F27-400C-8051-1D6953C7273F}">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G4" authorId="5" shapeId="0" xr:uid="{989ED1B4-CAE6-409C-920C-C6CFEEE395A1}">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M4" authorId="6" shapeId="0" xr:uid="{3A8A7B81-F443-4A01-8322-316F92C363AC}">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N4" authorId="7" shapeId="0" xr:uid="{BCF7DC4E-E914-468D-BDC2-C08877BB67B6}">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O4" authorId="8" shapeId="0" xr:uid="{7F185DA6-DB3E-4BFB-B34A-655772AA1EE7}">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Q4" authorId="9" shapeId="0" xr:uid="{2100AEBD-D5E7-4E2B-86D2-E5575750B200}">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tc={CEEA40B8-9803-45F9-9590-1EB56958D071}</author>
  </authors>
  <commentList>
    <comment ref="A4" authorId="0" shapeId="0" xr:uid="{CEEA40B8-9803-45F9-9590-1EB56958D071}">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tc={27199C55-3452-4671-8D79-D20E622843B0}</author>
    <author>tc={458BC249-2C0F-4CED-8428-99E7DC808FB4}</author>
    <author>tc={E8C14B69-530A-4C0A-9DE5-0EB213DD1513}</author>
    <author>tc={8A173AA2-571B-4A4E-BB95-85CF6C64371C}</author>
  </authors>
  <commentList>
    <comment ref="F4" authorId="0" shapeId="0" xr:uid="{27199C55-3452-4671-8D79-D20E622843B0}">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G4" authorId="1" shapeId="0" xr:uid="{458BC249-2C0F-4CED-8428-99E7DC808FB4}">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Y4" authorId="2" shapeId="0" xr:uid="{E8C14B69-530A-4C0A-9DE5-0EB213DD1513}">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D18" authorId="3" shapeId="0" xr:uid="{8A173AA2-571B-4A4E-BB95-85CF6C64371C}">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tc={F4177687-8E80-4A6B-B057-68A653B66C78}</author>
    <author>tc={4E5A4463-7793-4AC4-A59E-2608060717A3}</author>
    <author>tc={6AA7AC04-FAAA-4D66-BDEA-A5CAE99FC69E}</author>
    <author>tc={13686920-EDD3-4F99-ACEB-4FD7EA2EE9CE}</author>
  </authors>
  <commentList>
    <comment ref="F4" authorId="0" shapeId="0" xr:uid="{F4177687-8E80-4A6B-B057-68A653B66C78}">
      <text>
        <t>[Threaded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t>
      </text>
    </comment>
    <comment ref="G4" authorId="1" shapeId="0" xr:uid="{4E5A4463-7793-4AC4-A59E-2608060717A3}">
      <text>
        <t>[Threaded comment]
Your version of Excel allows you to read this threaded comment; however, any edits to it will get removed if the file is opened in a newer version of Excel. Learn more: https://go.microsoft.com/fwlink/?linkid=870924
Comment:
    Number of showers / toilets / urinals</t>
      </text>
    </comment>
    <comment ref="Y4" authorId="2" shapeId="0" xr:uid="{6AA7AC04-FAAA-4D66-BDEA-A5CAE99FC69E}">
      <text>
        <t>[Threaded comment]
Your version of Excel allows you to read this threaded comment; however, any edits to it will get removed if the file is opened in a newer version of Excel. Learn more: https://go.microsoft.com/fwlink/?linkid=870924
Comment:
    Pick Based on the zone efficiency table in ASHRAE 62.1</t>
      </text>
    </comment>
    <comment ref="AD18" authorId="3" shapeId="0" xr:uid="{13686920-EDD3-4F99-ACEB-4FD7EA2EE9CE}">
      <text>
        <t>[Threaded comment]
Your version of Excel allows you to read this threaded comment; however, any edits to it will get removed if the file is opened in a newer version of Excel. Learn more: https://go.microsoft.com/fwlink/?linkid=870924
Comment:
    Only use this when you plan to have the sequence to support this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tc={8B74483E-F39A-48BC-9A4F-F2282AE37744}</author>
  </authors>
  <commentList>
    <comment ref="A4" authorId="0" shapeId="0" xr:uid="{8B74483E-F39A-48BC-9A4F-F2282AE37744}">
      <text>
        <t>[Threaded comment]
Your version of Excel allows you to read this threaded comment; however, any edits to it will get removed if the file is opened in a newer version of Excel. Learn more: https://go.microsoft.com/fwlink/?linkid=870924
Comment:
    Increase or decrease number of rows in this table to match the number of zones.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tc={0CE903F8-FB5B-49B1-AF84-C405071D3512}</author>
    <author>tc={C753EF7A-0755-4AA5-95DD-038DB61B4374}</author>
    <author>tc={647D52CD-8CA9-481C-B063-492DF012ACE0}</author>
    <author>tc={F4DD8A74-0411-4A29-B1F8-A89F0C55ABD7}</author>
    <author>tc={6DD44DB8-F8EC-44A7-964A-28281BD57268}</author>
    <author>tc={066C11FA-B849-4A3C-8553-D3B28C540989}</author>
    <author>tc={79A93BAD-2DCD-47A2-862D-6F53BFC9271B}</author>
    <author>tc={D42696BE-B793-4191-A7F2-4FB0AB46C3E9}</author>
    <author>tc={9C0A8A6E-9FC3-4919-976C-B07F3FFE8484}</author>
    <author>tc={D7F707AE-1EB3-4E81-9ABF-B77BCEF23F31}</author>
  </authors>
  <commentList>
    <comment ref="AR3" authorId="0" shapeId="0" xr:uid="{0CE903F8-FB5B-49B1-AF84-C405071D3512}">
      <text>
        <t xml:space="preserve">[Threaded comment]
Your version of Excel allows you to read this threaded comment; however, any edits to it will get removed if the file is opened in a newer version of Excel. Learn more: https://go.microsoft.com/fwlink/?linkid=870924
Comment:
    This is a manual number added here when the percent outside air needs to be increased. </t>
      </text>
    </comment>
    <comment ref="B4" authorId="1" shapeId="0" xr:uid="{C753EF7A-0755-4AA5-95DD-038DB61B4374}">
      <text>
        <t>[Threaded comment]
Your version of Excel allows you to read this threaded comment; however, any edits to it will get removed if the file is opened in a newer version of Excel. Learn more: https://go.microsoft.com/fwlink/?linkid=870924
Comment:
    Import zone from Revit</t>
      </text>
    </comment>
    <comment ref="D4" authorId="2" shapeId="0" xr:uid="{647D52CD-8CA9-481C-B063-492DF012ACE0}">
      <text>
        <t>[Threaded comment]
Your version of Excel allows you to read this threaded comment; however, any edits to it will get removed if the file is opened in a newer version of Excel. Learn more: https://go.microsoft.com/fwlink/?linkid=870924
Comment:
    Import room from Revit</t>
      </text>
    </comment>
    <comment ref="E4" authorId="3" shapeId="0" xr:uid="{F4DD8A74-0411-4A29-B1F8-A89F0C55ABD7}">
      <text>
        <t>[Threaded comment]
Your version of Excel allows you to read this threaded comment; however, any edits to it will get removed if the file is opened in a newer version of Excel. Learn more: https://go.microsoft.com/fwlink/?linkid=870924
Comment:
    Import room number from Revit</t>
      </text>
    </comment>
    <comment ref="F4" authorId="4" shapeId="0" xr:uid="{6DD44DB8-F8EC-44A7-964A-28281BD57268}">
      <text>
        <t>[Threaded comment]
Your version of Excel allows you to read this threaded comment; however, any edits to it will get removed if the file is opened in a newer version of Excel. Learn more: https://go.microsoft.com/fwlink/?linkid=870924
Comment:
    Import Area from Revit</t>
      </text>
    </comment>
    <comment ref="G4" authorId="5" shapeId="0" xr:uid="{066C11FA-B849-4A3C-8553-D3B28C540989}">
      <text>
        <t>[Threaded comment]
Your version of Excel allows you to read this threaded comment; however, any edits to it will get removed if the file is opened in a newer version of Excel. Learn more: https://go.microsoft.com/fwlink/?linkid=870924
Comment:
    Import height from Revit</t>
      </text>
    </comment>
    <comment ref="AM4" authorId="6" shapeId="0" xr:uid="{79A93BAD-2DCD-47A2-862D-6F53BFC9271B}">
      <text>
        <t>[Threaded comment]
Your version of Excel allows you to read this threaded comment; however, any edits to it will get removed if the file is opened in a newer version of Excel. Learn more: https://go.microsoft.com/fwlink/?linkid=870924
Comment:
    This is by default equal to the calculated CFM. Go through this cell and make sure the supply CFM is correct. Check the OSA Percentage.</t>
      </text>
    </comment>
    <comment ref="AN4" authorId="7" shapeId="0" xr:uid="{D42696BE-B793-4191-A7F2-4FB0AB46C3E9}">
      <text>
        <t>[Threaded comment]
Your version of Excel allows you to read this threaded comment; however, any edits to it will get removed if the file is opened in a newer version of Excel. Learn more: https://go.microsoft.com/fwlink/?linkid=870924
Comment:
    Input this manually depending on the transfer air requirements. Good practice to complete air balance drawing before editing this column.</t>
      </text>
    </comment>
    <comment ref="AO4" authorId="8" shapeId="0" xr:uid="{9C0A8A6E-9FC3-4919-976C-B07F3FFE8484}">
      <text>
        <t xml:space="preserve">[Threaded comment]
Your version of Excel allows you to read this threaded comment; however, any edits to it will get removed if the file is opened in a newer version of Excel. Learn more: https://go.microsoft.com/fwlink/?linkid=870924
Comment:
    Usually automatic, but check and edit as necessary. </t>
      </text>
    </comment>
    <comment ref="AQ4" authorId="9" shapeId="0" xr:uid="{D7F707AE-1EB3-4E81-9ABF-B77BCEF23F31}">
      <text>
        <t>[Threaded comment]
Your version of Excel allows you to read this threaded comment; however, any edits to it will get removed if the file is opened in a newer version of Excel. Learn more: https://go.microsoft.com/fwlink/?linkid=870924
Comment:
    All cells in this column must be green</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tc={84D71866-A333-4CD0-9197-88E7042E5A29}</author>
    <author>tc={437746F2-980E-42E9-9E62-943E879A051B}</author>
  </authors>
  <commentList>
    <comment ref="F11" authorId="0" shapeId="0" xr:uid="{84D71866-A333-4CD0-9197-88E7042E5A29}">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G11" authorId="1" shapeId="0" xr:uid="{437746F2-980E-42E9-9E62-943E879A051B}">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tc={BD869CD4-096A-456B-9126-20BC0B49DB06}</author>
    <author>tc={FF9BFD97-92B3-438B-94B7-4D68C71209E1}</author>
  </authors>
  <commentList>
    <comment ref="C4" authorId="0" shapeId="0" xr:uid="{BD869CD4-096A-456B-9126-20BC0B49DB06}">
      <text>
        <t>[Threaded comment]
Your version of Excel allows you to read this threaded comment; however, any edits to it will get removed if the file is opened in a newer version of Excel. Learn more: https://go.microsoft.com/fwlink/?linkid=870924
Comment:
    List all applicable Components</t>
      </text>
    </comment>
    <comment ref="C24" authorId="1" shapeId="0" xr:uid="{FF9BFD97-92B3-438B-94B7-4D68C71209E1}">
      <text>
        <t xml:space="preserve">[Threaded comment]
Your version of Excel allows you to read this threaded comment; however, any edits to it will get removed if the file is opened in a newer version of Excel. Learn more: https://go.microsoft.com/fwlink/?linkid=870924
Comment:
    List all applicable components.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tc={6F767A3F-F52C-44D7-9F63-D60A46F3BF41}</author>
    <author>tc={9CA4B69A-D90F-4871-8F75-C811F2AC2E34}</author>
  </authors>
  <commentList>
    <comment ref="E5" authorId="0" shapeId="0" xr:uid="{6F767A3F-F52C-44D7-9F63-D60A46F3BF41}">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R5" authorId="1" shapeId="0" xr:uid="{9CA4B69A-D90F-4871-8F75-C811F2AC2E34}">
      <text>
        <t>[Threaded comment]
Your version of Excel allows you to read this threaded comment; however, any edits to it will get removed if the file is opened in a newer version of Excel. Learn more: https://go.microsoft.com/fwlink/?linkid=870924
Comment:
    Select Value from ASHRAE Table 6-4</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tc={FC91BA6C-57B6-4819-85F0-015C508289C5}</author>
    <author>tc={64347174-A77D-484A-9321-BDACC44CBE88}</author>
    <author>tc={47597CBB-90BF-4B83-B19F-62F091A4C1F8}</author>
  </authors>
  <commentList>
    <comment ref="E5" authorId="0" shapeId="0" xr:uid="{FC91BA6C-57B6-4819-85F0-015C508289C5}">
      <text>
        <t>[Threaded comment]
Your version of Excel allows you to read this threaded comment; however, any edits to it will get removed if the file is opened in a newer version of Excel. Learn more: https://go.microsoft.com/fwlink/?linkid=870924
Comment:
    Get this filled out from Lighting Designer</t>
      </text>
    </comment>
    <comment ref="F5" authorId="1" shapeId="0" xr:uid="{64347174-A77D-484A-9321-BDACC44CBE88}">
      <text>
        <t xml:space="preserve">[Threaded comment]
Your version of Excel allows you to read this threaded comment; however, any edits to it will get removed if the file is opened in a newer version of Excel. Learn more: https://go.microsoft.com/fwlink/?linkid=870924
Comment:
    Positive for positive
Negative value for negative pressurization
</t>
      </text>
    </comment>
    <comment ref="N5" authorId="2" shapeId="0" xr:uid="{47597CBB-90BF-4B83-B19F-62F091A4C1F8}">
      <text>
        <t>[Threaded comment]
Your version of Excel allows you to read this threaded comment; however, any edits to it will get removed if the file is opened in a newer version of Excel. Learn more: https://go.microsoft.com/fwlink/?linkid=870924
Comment:
    https://up.codes/viewer/california/ca-building-code-2022/chapter/10/means-of-egress#1004.5</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tc={DD884302-B4BA-4FC6-89DE-092D7787DBDD}</author>
    <author>tc={5D6E878F-F5BC-4DA5-96CC-DC128D97E4A5}</author>
    <author>tc={2BA79C46-F0D8-4A9F-9005-A0420E2E6802}</author>
    <author>tc={96319E2C-C317-466B-A8EB-4E7A838AE188}</author>
  </authors>
  <commentList>
    <comment ref="G3" authorId="0" shapeId="0" xr:uid="{DD884302-B4BA-4FC6-89DE-092D7787DBDD}">
      <text>
        <t>[Threaded comment]
Your version of Excel allows you to read this threaded comment; however, any edits to it will get removed if the file is opened in a newer version of Excel. Learn more: https://go.microsoft.com/fwlink/?linkid=870924
Comment:
    From EnergyPro</t>
      </text>
    </comment>
    <comment ref="H3" authorId="1" shapeId="0" xr:uid="{5D6E878F-F5BC-4DA5-96CC-DC128D97E4A5}">
      <text>
        <t>[Threaded comment]
Your version of Excel allows you to read this threaded comment; however, any edits to it will get removed if the file is opened in a newer version of Excel. Learn more: https://go.microsoft.com/fwlink/?linkid=870924
Comment:
    From EnergyPro</t>
      </text>
    </comment>
    <comment ref="B8" authorId="2" shapeId="0" xr:uid="{2BA79C46-F0D8-4A9F-9005-A0420E2E6802}">
      <text>
        <t>[Threaded comment]
Your version of Excel allows you to read this threaded comment; however, any edits to it will get removed if the file is opened in a newer version of Excel. Learn more: https://go.microsoft.com/fwlink/?linkid=870924
Comment:
    Only put load once. Either in BTUs or in Watts.</t>
      </text>
    </comment>
    <comment ref="A9" authorId="3" shapeId="0" xr:uid="{96319E2C-C317-466B-A8EB-4E7A838AE188}">
      <text>
        <t>[Threaded comment]
Your version of Excel allows you to read this threaded comment; however, any edits to it will get removed if the file is opened in a newer version of Excel. Learn more: https://go.microsoft.com/fwlink/?linkid=870924
Comment:
    Insert rows and list out all the equipment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tc={E0601F33-184C-4984-A0E4-F32973E0C3DA}</author>
    <author>tc={EFCFC2A7-092A-45A3-9C4B-3C27C4873A04}</author>
  </authors>
  <commentList>
    <comment ref="D11" authorId="0" shapeId="0" xr:uid="{E0601F33-184C-4984-A0E4-F32973E0C3DA}">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 ref="E11" authorId="1" shapeId="0" xr:uid="{EFCFC2A7-092A-45A3-9C4B-3C27C4873A04}">
      <text>
        <t xml:space="preserve">[Threaded comment]
Your version of Excel allows you to read this threaded comment; however, any edits to it will get removed if the file is opened in a newer version of Excel. Learn more: https://go.microsoft.com/fwlink/?linkid=870924
Comment:
    This is desired room temperature. Input based on RFP or ASHRAE.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8DF15-FA31-4230-9B8F-8FBF1647F4D9}" keepAlive="1" name="Query - AHU_Options" description="Connection to the 'AHU_Options' query in the workbook." type="5" refreshedVersion="0" background="1">
    <dbPr connection="Provider=Microsoft.Mashup.OleDb.1;Data Source=$Workbook$;Location=AHU_Options;Extended Properties=&quot;&quot;" command="SELECT * FROM [AHU_Options]"/>
  </connection>
  <connection id="2" xr16:uid="{E9E41313-5BF1-4BC5-A3B9-15B9712FB65B}" keepAlive="1" name="Query - Table7" description="Connection to the 'Table7' query in the workbook." type="5" refreshedVersion="0" background="1" saveData="1">
    <dbPr connection="Provider=Microsoft.Mashup.OleDb.1;Data Source=$Workbook$;Location=Table7;Extended Properties=&quot;&quot;" command="SELECT * FROM [Table7]"/>
  </connection>
  <connection id="3" xr16:uid="{8873E1C3-0056-4C07-843C-79E646B62FE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D7AF6AC-B45C-4D72-94A6-D4276AD79CF6}" name="WorksheetConnection_Revamped AHU Psyc Calcs (HCAI).xlsm!AHU_Options" type="102" refreshedVersion="8" minRefreshableVersion="5">
    <extLst>
      <ext xmlns:x15="http://schemas.microsoft.com/office/spreadsheetml/2010/11/main" uri="{DE250136-89BD-433C-8126-D09CA5730AF9}">
        <x15:connection id="AHU_Options">
          <x15:rangePr sourceName="_xlcn.WorksheetConnection_RevampedAHUPsycCalcsHCAI.xlsmAHU_Options1"/>
        </x15:connection>
      </ext>
    </extLst>
  </connection>
  <connection id="5" xr16:uid="{6E518B32-0A99-4F08-AC1A-6B5E128D9D4E}" name="WorksheetConnection_Revamped AHU Psyc Calcs (HCAI).xlsm!Table7" type="102" refreshedVersion="8" minRefreshableVersion="5">
    <extLst>
      <ext xmlns:x15="http://schemas.microsoft.com/office/spreadsheetml/2010/11/main" uri="{DE250136-89BD-433C-8126-D09CA5730AF9}">
        <x15:connection id="Table7">
          <x15:rangePr sourceName="_xlcn.WorksheetConnection_RevampedAHUPsycCalcsHCAI.xlsmTable7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<sst xmlns="http://schemas.openxmlformats.org/spreadsheetml/2006/main" count="9321" uniqueCount="2715">
  <si>
    <t>RA</t>
  </si>
  <si>
    <t>GPM</t>
  </si>
  <si>
    <t>ROOM INFO</t>
  </si>
  <si>
    <t>TABLE 4A CODE REQUIREMENTS</t>
  </si>
  <si>
    <t>ASHRAE 62.1 CALC</t>
  </si>
  <si>
    <t>ZONE</t>
  </si>
  <si>
    <t>ROOM</t>
  </si>
  <si>
    <t>ROOM 
NUMBER</t>
  </si>
  <si>
    <r>
      <t>AREA 
(FT</t>
    </r>
    <r>
      <rPr>
        <sz val="12"/>
        <color theme="1"/>
        <rFont val="Calibri"/>
        <family val="2"/>
      </rPr>
      <t>²</t>
    </r>
    <r>
      <rPr>
        <sz val="12"/>
        <color theme="1"/>
        <rFont val="Arial"/>
        <family val="2"/>
      </rPr>
      <t>)</t>
    </r>
  </si>
  <si>
    <t>HG
(FT)</t>
  </si>
  <si>
    <t>Desired Air Balance Difference</t>
  </si>
  <si>
    <t>LOAD 
(CFM)</t>
  </si>
  <si>
    <t>1 or 0.5 CFM/SF</t>
  </si>
  <si>
    <t>FUNCTION OR SPACE</t>
  </si>
  <si>
    <t>PRESSURE RELATIONSHIP TO ADJACENT AREAS</t>
  </si>
  <si>
    <t>MIN OUTDOOR ACH
(AC/HR)</t>
  </si>
  <si>
    <t>MIN OUTDOOR ACH 
(CFM)</t>
  </si>
  <si>
    <t>MIN TOTAL ACH (AC/HR)</t>
  </si>
  <si>
    <t>MIN TOTAL ACH 
(CFM)</t>
  </si>
  <si>
    <t>100% EA
 (YES/NR)</t>
  </si>
  <si>
    <t>MIN EA 
(CFM)</t>
  </si>
  <si>
    <t>Exhaust Category</t>
  </si>
  <si>
    <t>ASHRAE
EXHAUST UNIT</t>
  </si>
  <si>
    <t>OCCUPANCY CATEGORY</t>
  </si>
  <si>
    <t>RP
(CFM/PER PERSON)</t>
  </si>
  <si>
    <t>RA
(CFM/FT²)</t>
  </si>
  <si>
    <t>OCCUPANT DENSITY
(#/1000 FT²)</t>
  </si>
  <si>
    <t>Air Class</t>
  </si>
  <si>
    <t>Actual Number of  Occupants (Ps)</t>
  </si>
  <si>
    <t>Occupants (Pz)</t>
  </si>
  <si>
    <t>DIVERSITY (D)</t>
  </si>
  <si>
    <t>Uncorrected OA (Vou)</t>
  </si>
  <si>
    <t>System Efficiency (Ev)</t>
  </si>
  <si>
    <t>OUTSIDE AIRFLOW (CFM) (Vot)</t>
  </si>
  <si>
    <t>EXHAUST RECOVERY</t>
  </si>
  <si>
    <t>OS</t>
  </si>
  <si>
    <t>EA RATE
(CFM/UNIT)</t>
  </si>
  <si>
    <t>EA RATE
(CFM/FT²)</t>
  </si>
  <si>
    <t>MIN ASHRAE EA
(CFM)</t>
  </si>
  <si>
    <t>CALCULATED SA 
(CFM)</t>
  </si>
  <si>
    <t>Transfer Air CFM</t>
  </si>
  <si>
    <t>CFM/SF</t>
  </si>
  <si>
    <t>OSA PERCENT</t>
  </si>
  <si>
    <t>DUMMY</t>
  </si>
  <si>
    <t>Laundry, general</t>
  </si>
  <si>
    <t>NOT APPLICABLE</t>
  </si>
  <si>
    <t>NO</t>
  </si>
  <si>
    <t>BASIS OF DESIGN 
MANUFACTURER</t>
  </si>
  <si>
    <t>DESCRIPTION</t>
  </si>
  <si>
    <t>CFM</t>
  </si>
  <si>
    <t>CAV INLET SIZE</t>
  </si>
  <si>
    <t>MAX TOTAL CAV PD 
(IN W.G.)</t>
  </si>
  <si>
    <t>EWT</t>
  </si>
  <si>
    <t>DESIGN 
LWT</t>
  </si>
  <si>
    <t>EAT</t>
  </si>
  <si>
    <t>DESIGN 
LAT</t>
  </si>
  <si>
    <t>MIN MBH</t>
  </si>
  <si>
    <t>AGPM</t>
  </si>
  <si>
    <t>MAX WATER 
PD (FT)</t>
  </si>
  <si>
    <t>OPER 
WEIGHT
(LBS)</t>
  </si>
  <si>
    <t>MTG 
DETAIL</t>
  </si>
  <si>
    <t>REMARKS</t>
  </si>
  <si>
    <t>CAV-1-01</t>
  </si>
  <si>
    <t>TITUS</t>
  </si>
  <si>
    <t>SINGLE DUCT REHEAT ZONE</t>
  </si>
  <si>
    <t>1, 2</t>
  </si>
  <si>
    <t>Bathing room</t>
  </si>
  <si>
    <t>CAV-1-02</t>
  </si>
  <si>
    <t>Blood bank/tissue storage</t>
  </si>
  <si>
    <t>TOILETS—PRIVATE</t>
  </si>
  <si>
    <t>Fast track room</t>
  </si>
  <si>
    <t>NOT PER TABLE 4A</t>
  </si>
  <si>
    <t>GENERAL - CONFERENCE/MEETING</t>
  </si>
  <si>
    <t>`</t>
  </si>
  <si>
    <t>Total</t>
  </si>
  <si>
    <t>ROOM DATA INPUTS</t>
  </si>
  <si>
    <t>ASHRAE 62.1 TABLE 6-1 AND 6-2</t>
  </si>
  <si>
    <t>Zone</t>
  </si>
  <si>
    <t>Room Number</t>
  </si>
  <si>
    <t>Room</t>
  </si>
  <si>
    <r>
      <t>AREA (FT</t>
    </r>
    <r>
      <rPr>
        <sz val="12"/>
        <rFont val="Calibri"/>
        <family val="2"/>
      </rPr>
      <t>²</t>
    </r>
    <r>
      <rPr>
        <sz val="12"/>
        <rFont val="Arial"/>
        <family val="2"/>
      </rPr>
      <t>)</t>
    </r>
  </si>
  <si>
    <t>Exhaust Units</t>
  </si>
  <si>
    <t>OFFICE STANDARD 
(CFM)</t>
  </si>
  <si>
    <t>Occupancy Category</t>
  </si>
  <si>
    <t>Breathing Zone OA (Vbz)</t>
  </si>
  <si>
    <t>Zone Efficiency (Ez)</t>
  </si>
  <si>
    <t>Zone OA (Voz)</t>
  </si>
  <si>
    <t>CO2 SENSOR</t>
  </si>
  <si>
    <t>MIN OA ALLOWABLE (WITH DCV)</t>
  </si>
  <si>
    <t>DESIGN VAV MIN SA(CFM)</t>
  </si>
  <si>
    <t>DESIGN VAV MAX SA(CFM)</t>
  </si>
  <si>
    <t>DESIGN RA (CFM)</t>
  </si>
  <si>
    <t>DESIGN EA(CFM)</t>
  </si>
  <si>
    <t>OA Frac (Z)</t>
  </si>
  <si>
    <t>MIN VAV
(CFM)</t>
  </si>
  <si>
    <t>MAX VAV
(CFM)</t>
  </si>
  <si>
    <t>VAV INLET SIZE
(IN)</t>
  </si>
  <si>
    <t>MAX TOTAL VAV PD 
(IN W.G.)</t>
  </si>
  <si>
    <t>HEATING AIRFLOW 
(CFM)</t>
  </si>
  <si>
    <t>VAV-1-01</t>
  </si>
  <si>
    <t>GENERAL - TOILETS</t>
  </si>
  <si>
    <t>ANIMAL FACILITIES - NECROPSY</t>
  </si>
  <si>
    <t>VAV-1-02</t>
  </si>
  <si>
    <t>EDUCATIONAL FACILITIES - LIBRARIES</t>
  </si>
  <si>
    <t>TOTAL</t>
  </si>
  <si>
    <t>Project Name:</t>
  </si>
  <si>
    <t>Enter here</t>
  </si>
  <si>
    <t>Date:</t>
  </si>
  <si>
    <t>YES</t>
  </si>
  <si>
    <t xml:space="preserve">END </t>
  </si>
  <si>
    <t>MERV 8</t>
  </si>
  <si>
    <t>PLATE FRAME HEAT EXCHANGER</t>
  </si>
  <si>
    <t>INPUTS</t>
  </si>
  <si>
    <t>OUTPUTS</t>
  </si>
  <si>
    <t>SIDE</t>
  </si>
  <si>
    <t>MERV 9</t>
  </si>
  <si>
    <t>ENTHALPY WHEEL</t>
  </si>
  <si>
    <t>*OUTSIDE AIR TABLE - MUST BE FROM ASHRAE OR RFP</t>
  </si>
  <si>
    <t>DOWN</t>
  </si>
  <si>
    <t>MERV 10</t>
  </si>
  <si>
    <t>Climate Zone</t>
  </si>
  <si>
    <t>3B</t>
  </si>
  <si>
    <t>Elevation of project (ft)</t>
  </si>
  <si>
    <t>CENTRAL PLANT DETAILS</t>
  </si>
  <si>
    <t>MERV 11</t>
  </si>
  <si>
    <t>SUMMER DESIGN</t>
  </si>
  <si>
    <t>WINTER DESIGN</t>
  </si>
  <si>
    <t>CHW Plant</t>
  </si>
  <si>
    <t>Tons</t>
  </si>
  <si>
    <t>MERV 12</t>
  </si>
  <si>
    <t>COOLING</t>
  </si>
  <si>
    <t>DB</t>
  </si>
  <si>
    <t>HEATING</t>
  </si>
  <si>
    <t>MCDB</t>
  </si>
  <si>
    <t>CHW Total Flow</t>
  </si>
  <si>
    <t>Gpm</t>
  </si>
  <si>
    <t>MERV 13</t>
  </si>
  <si>
    <t>WB</t>
  </si>
  <si>
    <t>MERV 14</t>
  </si>
  <si>
    <t>DEHUMIDIFICATION</t>
  </si>
  <si>
    <t>HUMIDIFICATION</t>
  </si>
  <si>
    <t>HHW Plant</t>
  </si>
  <si>
    <t>Mbh</t>
  </si>
  <si>
    <t>HR</t>
  </si>
  <si>
    <t>HHW Pump Flow</t>
  </si>
  <si>
    <t>PROJECT DETAILS</t>
  </si>
  <si>
    <t>CHWS</t>
  </si>
  <si>
    <t>F</t>
  </si>
  <si>
    <t>CHWR</t>
  </si>
  <si>
    <t>HHWS</t>
  </si>
  <si>
    <t>HHWR</t>
  </si>
  <si>
    <t>System Allowance</t>
  </si>
  <si>
    <t>%</t>
  </si>
  <si>
    <t>CAV Detail Ref</t>
  </si>
  <si>
    <t>-</t>
  </si>
  <si>
    <t>SURVEY / FEEDBACK</t>
  </si>
  <si>
    <t>AHU OPTIONS MATRIX</t>
  </si>
  <si>
    <t>AHU NAME</t>
  </si>
  <si>
    <t>DISCHARGE CONFIG</t>
  </si>
  <si>
    <t>RETURN CONFIG</t>
  </si>
  <si>
    <t>SUPPLY FAN VFD</t>
  </si>
  <si>
    <t>RETURN FAN</t>
  </si>
  <si>
    <t>RETURN FAN VFD</t>
  </si>
  <si>
    <t>ECONOMIZER</t>
  </si>
  <si>
    <t>HEAT RECOVERY</t>
  </si>
  <si>
    <t>PREHEAT COIL</t>
  </si>
  <si>
    <t>REHEAT COIL</t>
  </si>
  <si>
    <t>SUPPLY SMOKE</t>
  </si>
  <si>
    <t>RETURN SMOKE</t>
  </si>
  <si>
    <t>SINGLE POWER</t>
  </si>
  <si>
    <t>UV LIGHTS</t>
  </si>
  <si>
    <t xml:space="preserve">PRE FILTER </t>
  </si>
  <si>
    <t>INTERMIDIATE FILTER</t>
  </si>
  <si>
    <t>ATFP DAMPERS</t>
  </si>
  <si>
    <t>HUMIDIFIER</t>
  </si>
  <si>
    <t>HEPA FILTER</t>
  </si>
  <si>
    <t>Patient corridor</t>
  </si>
  <si>
    <t>OUTSIDE AIR AND CFM DATA</t>
  </si>
  <si>
    <t>SENSIBLE COOLING COIL PERFORMANCE</t>
  </si>
  <si>
    <t>DEHUMIDIFICATION COOLING COIL PERFORMANCE</t>
  </si>
  <si>
    <t>FINAL VALUES</t>
  </si>
  <si>
    <t>Across Unit</t>
  </si>
  <si>
    <t>Exfiltration Air</t>
  </si>
  <si>
    <t>Across Cooling Coil</t>
  </si>
  <si>
    <t>Unit Size</t>
  </si>
  <si>
    <t xml:space="preserve">
Chilled Water </t>
  </si>
  <si>
    <t>CHILLED WATER</t>
  </si>
  <si>
    <t>MAX
Unit Size</t>
  </si>
  <si>
    <t>CFM/Ton</t>
  </si>
  <si>
    <t>MAX GPM</t>
  </si>
  <si>
    <t>Across Heating Coil</t>
  </si>
  <si>
    <t>HOT WATER</t>
  </si>
  <si>
    <t>Supply Air</t>
  </si>
  <si>
    <t xml:space="preserve">RETURN AIR </t>
  </si>
  <si>
    <t>Outside Air</t>
  </si>
  <si>
    <t>Summer Outside Air (dehumidification)</t>
  </si>
  <si>
    <t>Winter Outside</t>
  </si>
  <si>
    <t>Entering Air</t>
  </si>
  <si>
    <t>Leaving Coil</t>
  </si>
  <si>
    <t>Qs</t>
  </si>
  <si>
    <t>Qt</t>
  </si>
  <si>
    <t>LWT</t>
  </si>
  <si>
    <t>FLOW</t>
  </si>
  <si>
    <t>HEATING CFM</t>
  </si>
  <si>
    <t>Leaving Air</t>
  </si>
  <si>
    <t>TAG</t>
  </si>
  <si>
    <t>(˚F db)</t>
  </si>
  <si>
    <t>(˚F wb)</t>
  </si>
  <si>
    <t>(CFM)3</t>
  </si>
  <si>
    <t>(˚F db)4</t>
  </si>
  <si>
    <t>(˚F wb)5</t>
  </si>
  <si>
    <t>(CFM)6</t>
  </si>
  <si>
    <t>(˚F db)7</t>
  </si>
  <si>
    <t>(˚F wb)8</t>
  </si>
  <si>
    <t>(˚F db)9</t>
  </si>
  <si>
    <t>(CFM)10</t>
  </si>
  <si>
    <t>(˚F db)11</t>
  </si>
  <si>
    <t>(˚F wb)12</t>
  </si>
  <si>
    <t>(h)</t>
  </si>
  <si>
    <t>(˚F db)13</t>
  </si>
  <si>
    <t>(˚F wb)14</t>
  </si>
  <si>
    <t>(h)15</t>
  </si>
  <si>
    <t>(Btu/hr)</t>
  </si>
  <si>
    <t>(Btu/hr)16</t>
  </si>
  <si>
    <t>(Tons)</t>
  </si>
  <si>
    <t>(˚F db)17</t>
  </si>
  <si>
    <t>(˚F db)18</t>
  </si>
  <si>
    <t>(˚F db)19</t>
  </si>
  <si>
    <t>(˚F wb)20</t>
  </si>
  <si>
    <t>(h)21</t>
  </si>
  <si>
    <t>(˚F db)22</t>
  </si>
  <si>
    <t>(˚F wb)23</t>
  </si>
  <si>
    <t>(h)24</t>
  </si>
  <si>
    <t>(Btu/hr)28</t>
  </si>
  <si>
    <t>(Btu/hr)29</t>
  </si>
  <si>
    <t>(Tons)30</t>
  </si>
  <si>
    <t>(˚F db)31</t>
  </si>
  <si>
    <t>(˚F db)32</t>
  </si>
  <si>
    <t>GPM33</t>
  </si>
  <si>
    <t>(Tons)34</t>
  </si>
  <si>
    <t>(CFM)35</t>
  </si>
  <si>
    <t>GPM MAX</t>
  </si>
  <si>
    <t>(CFM)36</t>
  </si>
  <si>
    <t>(˚F db)37</t>
  </si>
  <si>
    <t>(˚F db)38</t>
  </si>
  <si>
    <t>(MBH)</t>
  </si>
  <si>
    <t>(˚F db)39</t>
  </si>
  <si>
    <t>(˚F db)40</t>
  </si>
  <si>
    <t>GPM41</t>
  </si>
  <si>
    <t>(˚F db)43</t>
  </si>
  <si>
    <t>(˚F db)45</t>
  </si>
  <si>
    <t>(mbh)46</t>
  </si>
  <si>
    <t>(˚F db)46</t>
  </si>
  <si>
    <t>DESIGN</t>
  </si>
  <si>
    <r>
      <t>AREA 
(FT</t>
    </r>
    <r>
      <rPr>
        <sz val="12"/>
        <rFont val="Calibri"/>
        <family val="2"/>
      </rPr>
      <t>²</t>
    </r>
    <r>
      <rPr>
        <sz val="12"/>
        <rFont val="Arial"/>
        <family val="2"/>
      </rPr>
      <t>)</t>
    </r>
  </si>
  <si>
    <t>Occupants</t>
  </si>
  <si>
    <t>Vbz</t>
  </si>
  <si>
    <t>Ez</t>
  </si>
  <si>
    <t>Voz</t>
  </si>
  <si>
    <t>DESIGN SA(CFM)</t>
  </si>
  <si>
    <t>DESIGN RA(CFM)</t>
  </si>
  <si>
    <t>MISCELLANEOUS SPACES - PHOTO STUDIOS</t>
  </si>
  <si>
    <t>ANIMAL FACILITIES - ANIMAL PREPARATION ROOMS</t>
  </si>
  <si>
    <t>RP</t>
  </si>
  <si>
    <t>OCCUPANT DENSITY</t>
  </si>
  <si>
    <t>AIR CLASS</t>
  </si>
  <si>
    <t>0.5?</t>
  </si>
  <si>
    <t>EXHAUST RATE PER UNIT</t>
  </si>
  <si>
    <t>EXHAUST RATE PER AREA</t>
  </si>
  <si>
    <t>NOTES</t>
  </si>
  <si>
    <t xml:space="preserve">AIR CLASS </t>
  </si>
  <si>
    <t>ANIMAL FACILITIES - ANIMAL EXAM ROOM (VETERINARY OFFICE)</t>
  </si>
  <si>
    <t>ANIMAL FACILITIES - ANIMAL IMAGING (MRI/CT/PET)</t>
  </si>
  <si>
    <t>TABLE 6-4</t>
  </si>
  <si>
    <t>CLIMATE ZONE</t>
  </si>
  <si>
    <t>ANIMAL FACILITIES - ANIMAL OPERATING ROOMS</t>
  </si>
  <si>
    <t>ANIMAL FACILITIES - ANIMAL POSTOPERATIVE RECOVERY ROOM</t>
  </si>
  <si>
    <t>5A</t>
  </si>
  <si>
    <t>ANIMAL FACILITIES - ANIMAL PROCEDURE ROOM</t>
  </si>
  <si>
    <t>6A</t>
  </si>
  <si>
    <t>ANIMAL FACILITIES - ANIMAL SURGERY SCRUB</t>
  </si>
  <si>
    <t>6B</t>
  </si>
  <si>
    <t>ANIMAL FACILITIES - LARGE-ANIMAL HOLDING ROOM</t>
  </si>
  <si>
    <t>0A</t>
  </si>
  <si>
    <t>ANIMAL FACILITIES - LARGE ANIMAL HOLDING ROOM</t>
  </si>
  <si>
    <t>0B</t>
  </si>
  <si>
    <t>ANIMAL FACILITIES - SMALL-ANIMAL-CAGE ROOM (STATIC CAGES)</t>
  </si>
  <si>
    <t>1B</t>
  </si>
  <si>
    <t>ANIMAL FACILITIES - SMALL-ANIMAL-CAGE ROOM (VENTILATED CAGES)</t>
  </si>
  <si>
    <t>3A</t>
  </si>
  <si>
    <t>ARENAS</t>
  </si>
  <si>
    <t>B</t>
  </si>
  <si>
    <t>4A</t>
  </si>
  <si>
    <t>CORRECTIONAL FACILITIES - BOOKING/WAITING</t>
  </si>
  <si>
    <t>ART CLASSROOMS</t>
  </si>
  <si>
    <t>5B</t>
  </si>
  <si>
    <t>CORRECTIONAL FACILITIES - CELL</t>
  </si>
  <si>
    <t>AUTO REPAIR ROOMS</t>
  </si>
  <si>
    <t>A</t>
  </si>
  <si>
    <t>5C</t>
  </si>
  <si>
    <t>CORRECTIONAL FACILITIES - DAYROOM</t>
  </si>
  <si>
    <t>BARBER SHOPS</t>
  </si>
  <si>
    <t>2A</t>
  </si>
  <si>
    <t>CORRECTIONAL FACILITIES - GUARD STATIONS</t>
  </si>
  <si>
    <t>BEAUTY AND NAIL SALONS</t>
  </si>
  <si>
    <t>2B</t>
  </si>
  <si>
    <t>EDUCATIONAL FACILITIES - ART CLASSROOM</t>
  </si>
  <si>
    <t>CELLS WITH TOILET</t>
  </si>
  <si>
    <t>4C</t>
  </si>
  <si>
    <t>EDUCATIONAL FACILITIES - CLASSROOMS (AGES 5 TO 8)</t>
  </si>
  <si>
    <t>COPY, PRINTING ROOMS</t>
  </si>
  <si>
    <t>EDUCATIONAL FACILITIES - CLASSROOMS (AGES 9 PLUS)</t>
  </si>
  <si>
    <t>DARKROOMS</t>
  </si>
  <si>
    <t>4B</t>
  </si>
  <si>
    <t>EDUCATIONAL FACILITIES - COMPUTER LAB</t>
  </si>
  <si>
    <t>EDUCATIONAL SCIENCE LABORATORIES</t>
  </si>
  <si>
    <t>1A</t>
  </si>
  <si>
    <t>EDUCATIONAL FACILITIES - DAYCARE (THROUGH AGE 4)</t>
  </si>
  <si>
    <t>JANITOR CLOSETS, TRASH ROOMS, RECYCLING</t>
  </si>
  <si>
    <t>3C</t>
  </si>
  <si>
    <t>EDUCATIONAL FACILITIES - DAYCARE SICKROOM</t>
  </si>
  <si>
    <t>KITCHENETTES</t>
  </si>
  <si>
    <t>EDUCATIONAL FACILITIES - LECTURE CLASSROOM</t>
  </si>
  <si>
    <t>KITCHENS—COMMERICAL</t>
  </si>
  <si>
    <t>EDUCATIONAL FACILITIES - LECTURE HALL (FIXED SEATS)</t>
  </si>
  <si>
    <t>LOCKER ROOMS FOR ATHLETIC, INDUSTRIAL, AND HEALTH CARE FACILITIES</t>
  </si>
  <si>
    <t>LOCKER ROOMS FOR ATHLETIC, INDUSTRIAL, AND HEALTH CARE FACILITIES - ALL OTHER LOCKER ROOMS</t>
  </si>
  <si>
    <t>EDUCATIONAL FACILITIES - MEDIA CENTER</t>
  </si>
  <si>
    <t>LOCKER ROOMS FOR ATHLETIC, INDUSTRIAL, AND HEALTH CARE FACILITIES - SHOWER ROOMS</t>
  </si>
  <si>
    <t>G,I</t>
  </si>
  <si>
    <t>EDUCATIONAL FACILITIES - MULTIUSE ASSEMBLY</t>
  </si>
  <si>
    <t>PAINT SPRAY BOOTHS</t>
  </si>
  <si>
    <t>EDUCATIONAL FACILITIES - MUSIC/THEATER/DANCE</t>
  </si>
  <si>
    <t>PARKING GARAGES</t>
  </si>
  <si>
    <t>C</t>
  </si>
  <si>
    <t>EDUCATIONAL FACILITIES - SCIENCE LABORATORIES</t>
  </si>
  <si>
    <t>PET SHOPS (ANIMAL AREAS)</t>
  </si>
  <si>
    <t>EDUCATIONAL FACILITIES - UNIVERSITY/COLLEGE LABORATORIES</t>
  </si>
  <si>
    <t>REFRIGERATING MACHINERY ROOMS</t>
  </si>
  <si>
    <t>EDUCATIONAL FACILITIES - WOOD/METAL SHOP</t>
  </si>
  <si>
    <t>RESIDENTIAL KITCHENS</t>
  </si>
  <si>
    <t>FOOD AND BEVERAGE SERVICE - BARS, COCKTAIL LOUNGES</t>
  </si>
  <si>
    <t>SOILED LAUNDRY STORAGE ROOMS</t>
  </si>
  <si>
    <t>FOOD AND BEVERAGE SERVICE - CAFETERIA/FAST-FOOD DINING</t>
  </si>
  <si>
    <t>STORAGE ROOMS, CHEMICAL</t>
  </si>
  <si>
    <t>FOOD AND BEVERAGE SERVICE - KITCHEN (COOKING)</t>
  </si>
  <si>
    <t>E.H</t>
  </si>
  <si>
    <t>FOOD AND BEVERAGE SERVICE - RESTAURANT DINING ROOMS</t>
  </si>
  <si>
    <t>TOILETS—PUBLIC</t>
  </si>
  <si>
    <t>D,H</t>
  </si>
  <si>
    <t>GENERAL - BREAK ROOMS</t>
  </si>
  <si>
    <t>GENERAL - COFFEE STATIONS</t>
  </si>
  <si>
    <t>WOODWORK SHOP/CLASSROOMS</t>
  </si>
  <si>
    <t>GENERAL - CORRIDORS</t>
  </si>
  <si>
    <t>GENERAL - OCCUPIABLE STORAGE ROOMS FOR LIQUIDS OR GELS</t>
  </si>
  <si>
    <t>HOTELS, MOTELS, RESORTS, DORMITORIES - BARRACKS SLEEPING AREAS</t>
  </si>
  <si>
    <t>HOTELS, MOTELS, RESORTS, DORMITORIES - BEDROOM/LIVING ROOM</t>
  </si>
  <si>
    <t>HOTELS, MOTELS, RESORTS, DORMITORIES - LAUNDRY ROOMS WITHIN DWELLING UNITS</t>
  </si>
  <si>
    <t>HOTELS, MOTELS, RESORTS, DORMITORIES - LAUNDRY ROOMS, CENTRAL</t>
  </si>
  <si>
    <t>HOTELS, MOTELS, RESORTS, DORMITORIES - LOBBIES/PREFUNCTION</t>
  </si>
  <si>
    <t>HOTELS, MOTELS, RESORTS, DORMITORIES - MULTIPURPOSE ASSEMBLY</t>
  </si>
  <si>
    <t>MISCELLANEOUS SPACES - BANK VAULTS/SAFE DEPOSIT</t>
  </si>
  <si>
    <t>MISCELLANEOUS SPACES - BANKS OR BANKS LOBBIES</t>
  </si>
  <si>
    <t>MISCELLANEOUS SPACES - COMPUTER (NOT PRINTING)</t>
  </si>
  <si>
    <t>MISCELLANEOUS SPACES - FREEZER AND REFRIGERATED SPACES (&lt;50°F [10C])</t>
  </si>
  <si>
    <t>MISCELLANEOUS SPACES - MANUFACTURING WHERE HAZARDOUS MATERIALS ARE NOT USED</t>
  </si>
  <si>
    <t>MISCELLANEOUS SPACES - MANUFACTURING WHERE HAZARDOUS MATERIALS ARE USED (EXCLUDES HEAVY INDUSTRIAL AND CHEMICAL PROCESSES)</t>
  </si>
  <si>
    <t>MISCELLANEOUS SPACES - PHARMACY (PREP. AREA)</t>
  </si>
  <si>
    <t>MISCELLANEOUS SPACES - SHIPPING/RECEIVING</t>
  </si>
  <si>
    <t>MISCELLANEOUS SPACES - SORTING, PACKING, LIGHT ASSEMBLE</t>
  </si>
  <si>
    <t>MISCELLANEOUS SPACES - TELEPHONE CLOSETS</t>
  </si>
  <si>
    <t>MISCELLANEOUS SPACES - TRANSPORTATION WAITING</t>
  </si>
  <si>
    <t>MISCELLANEOUS SPACES - WAREHOUSES</t>
  </si>
  <si>
    <t>OFFICE BUILDINGS - BREAKROOMS</t>
  </si>
  <si>
    <t>OFFICE BUILDINGS - MAIN ENTRY LOBBIES</t>
  </si>
  <si>
    <t>OFFICE BUILDINGS - OCCUPIABLE STORAGE ROOMS FOR DRY MATERIALS</t>
  </si>
  <si>
    <t>OFFICE BUILDINGS - OFFICE SPACE</t>
  </si>
  <si>
    <t>OFFICE BUILDINGS - RECEPTION AREAS</t>
  </si>
  <si>
    <t>OFFICE BUILDINGS - TELEPHONE/DATA ENTRY</t>
  </si>
  <si>
    <t>PUBLIC ASSEMBLY SPACES - AUDITORIUM SEATING AREA</t>
  </si>
  <si>
    <t>PUBLIC ASSEMBLY SPACES - COURTROOMS</t>
  </si>
  <si>
    <t>PUBLIC ASSEMBLY SPACES - LEGISLATIVE CHAMBERS</t>
  </si>
  <si>
    <t>PUBLIC ASSEMBLY SPACES - LIBRARIES</t>
  </si>
  <si>
    <t>PUBLIC ASSEMBLY SPACES - LOBBIES</t>
  </si>
  <si>
    <t>PUBLIC ASSEMBLY SPACES - MUSEUMS (CHILDREN'S)</t>
  </si>
  <si>
    <t>PUBLIC ASSEMBLY SPACES - MUSEUMS/GALLERIES</t>
  </si>
  <si>
    <t>PUBLIC ASSEMBLY SPACES - PLACES OF RELIGIOUS WORSHIP</t>
  </si>
  <si>
    <t>RESIDENTIAL - COMMON CORRIDORS</t>
  </si>
  <si>
    <t>RETAIL - BARBERSHOP</t>
  </si>
  <si>
    <t>RETAIL - BEAUTY AND NAIL SALONS</t>
  </si>
  <si>
    <t>RETAIL - COIN-OPERATED LAUNDRIES</t>
  </si>
  <si>
    <t>RETAIL - MALL COMMON AREAS</t>
  </si>
  <si>
    <t>RETAIL - PET SHOPS (ANIMAL AREAS)</t>
  </si>
  <si>
    <t>RETAIL - SALES (EXCEPT AS BELOW)</t>
  </si>
  <si>
    <t>RETAIL - SUPERMARKET</t>
  </si>
  <si>
    <t>SPORTS AND ENTERTAINMENT - BOWLING ALLEY (SEATING)</t>
  </si>
  <si>
    <t>SPORTS AND ENTERTAINMENT - DISCO/DANCE FLOORS</t>
  </si>
  <si>
    <t>SPORTS AND ENTERTAINMENT - GAMBLING CASINOS</t>
  </si>
  <si>
    <t>SPORTS AND ENTERTAINMENT - GAME ARCADES</t>
  </si>
  <si>
    <t>SPORTS AND ENTERTAINMENT - GYM, SPORTS ARENA (PLAY AREA)</t>
  </si>
  <si>
    <t>SPORTS AND ENTERTAINMENT - HEALTH CLUB/AEROBICS ROOM</t>
  </si>
  <si>
    <t>SPORTS AND ENTERTAINMENT - HEALTH CLUB/WEIGHT ROOMS</t>
  </si>
  <si>
    <t>SPORTS AND ENTERTAINMENT - SPECTATOR AREAS</t>
  </si>
  <si>
    <t>SPORTS AND ENTERTAINMENT - STAGES, STUDIOS</t>
  </si>
  <si>
    <t>NA</t>
  </si>
  <si>
    <t>SPORTS AND ENTERTAINMENT - SWIMMING (POOL AND DECK)</t>
  </si>
  <si>
    <t>Area Designation</t>
  </si>
  <si>
    <t>Air Balance Rerationship to Adjacent Areas</t>
  </si>
  <si>
    <t>Minimum Air Changes of Outdoor Air per Hour</t>
  </si>
  <si>
    <t>Minimum Total Air Changes per Hour</t>
  </si>
  <si>
    <t>All Air Exhausted Directly To Outdoors
(j)</t>
  </si>
  <si>
    <t>Air Recirculated by Means of Room Units (a)</t>
  </si>
  <si>
    <t>Design Relative Humidity (k)%</t>
  </si>
  <si>
    <t>MIN Design Temperature(l)</t>
  </si>
  <si>
    <t>MAX Design Temperature</t>
  </si>
  <si>
    <t>Notes</t>
  </si>
  <si>
    <t xml:space="preserve">Airborne infection isolation anteroom </t>
  </si>
  <si>
    <t>E</t>
  </si>
  <si>
    <t>NR</t>
  </si>
  <si>
    <t>Yes</t>
  </si>
  <si>
    <t>No</t>
  </si>
  <si>
    <t>U</t>
  </si>
  <si>
    <t xml:space="preserve">Airborne infection isolation room </t>
  </si>
  <si>
    <t>Negative</t>
  </si>
  <si>
    <t>max 60</t>
  </si>
  <si>
    <t>Airborne infection isolation treatment/exam room</t>
  </si>
  <si>
    <t>Angiography room</t>
  </si>
  <si>
    <t>Positive</t>
  </si>
  <si>
    <t>Bathroom</t>
  </si>
  <si>
    <t>Bedpan room</t>
  </si>
  <si>
    <t>Blood draw/phlebotomy</t>
  </si>
  <si>
    <t>Bronchoscopy, sputum collection, and pentamidine administration</t>
  </si>
  <si>
    <t>N</t>
  </si>
  <si>
    <t>Cardiac catheterization lab</t>
  </si>
  <si>
    <t>Clean linen storage</t>
  </si>
  <si>
    <t>Clean workroom (central medical and surgical supply space)</t>
  </si>
  <si>
    <t>Clean workroom or clean hodling (support)</t>
  </si>
  <si>
    <t>Critical and intensive care</t>
  </si>
  <si>
    <t>30-60</t>
  </si>
  <si>
    <t>CT Scan</t>
  </si>
  <si>
    <t xml:space="preserve">Darkroom </t>
  </si>
  <si>
    <t>G</t>
  </si>
  <si>
    <t xml:space="preserve">Delivery room (caesarean) </t>
  </si>
  <si>
    <t>20-60</t>
  </si>
  <si>
    <t>Dialysis treatment area</t>
  </si>
  <si>
    <t>Dialyzer reprocessing room</t>
  </si>
  <si>
    <t>Dietary storage</t>
  </si>
  <si>
    <t>Electroconvulsive therapy procedure room</t>
  </si>
  <si>
    <t>P</t>
  </si>
  <si>
    <t xml:space="preserve">Emergency department exam/treatment room </t>
  </si>
  <si>
    <t>Endoscope cleaning</t>
  </si>
  <si>
    <t>ER decontamination</t>
  </si>
  <si>
    <t>ER waiting rooms</t>
  </si>
  <si>
    <t>max 65</t>
  </si>
  <si>
    <t>q</t>
  </si>
  <si>
    <t>Examination room</t>
  </si>
  <si>
    <t>Fluoroscopy room</t>
  </si>
  <si>
    <t xml:space="preserve">Food preparation center </t>
  </si>
  <si>
    <t>I</t>
  </si>
  <si>
    <t xml:space="preserve">Gastrointestinal endoscopy procedure room </t>
  </si>
  <si>
    <t>X</t>
  </si>
  <si>
    <t>Hazardous material storage</t>
  </si>
  <si>
    <t>Hydrotherapy</t>
  </si>
  <si>
    <t>Infusion room</t>
  </si>
  <si>
    <t xml:space="preserve">Intermediate care </t>
  </si>
  <si>
    <t>S</t>
  </si>
  <si>
    <t>Interventional imaging procedure room</t>
  </si>
  <si>
    <t>IV Prep. room</t>
  </si>
  <si>
    <t>Janitor's closet, housekeeping</t>
  </si>
  <si>
    <t xml:space="preserve">Labor/delivery/recovery  (LDR) </t>
  </si>
  <si>
    <t xml:space="preserve">Labor/delivery/recovery/ postpartum (LDRP) </t>
  </si>
  <si>
    <t xml:space="preserve">Laboratory, bacteriology </t>
  </si>
  <si>
    <t>V</t>
  </si>
  <si>
    <t xml:space="preserve">Laboratory, biochemistry </t>
  </si>
  <si>
    <t xml:space="preserve">Laboratory, cytology </t>
  </si>
  <si>
    <t xml:space="preserve">Laboratory, general </t>
  </si>
  <si>
    <t>Laboratory, glasswashing</t>
  </si>
  <si>
    <t xml:space="preserve">Laboratory, histology </t>
  </si>
  <si>
    <t>Laboratory, infectious disease and virus</t>
  </si>
  <si>
    <t xml:space="preserve">Laboratory, media transfer </t>
  </si>
  <si>
    <t xml:space="preserve">Laboratory, microbiology </t>
  </si>
  <si>
    <t>Laboratory, nuclear medicine </t>
  </si>
  <si>
    <t xml:space="preserve">Laboratory, pathology </t>
  </si>
  <si>
    <t xml:space="preserve">Laboratory, serology </t>
  </si>
  <si>
    <t>Laboratory, sterilizing</t>
  </si>
  <si>
    <t>Lactation</t>
  </si>
  <si>
    <t>Laser eye room</t>
  </si>
  <si>
    <t>Linen and trash chute room</t>
  </si>
  <si>
    <t xml:space="preserve">Medical/anesthesia gas storage </t>
  </si>
  <si>
    <t>R</t>
  </si>
  <si>
    <t>Medication room</t>
  </si>
  <si>
    <t xml:space="preserve">Morgues and autopsy room </t>
  </si>
  <si>
    <t>MRI room</t>
  </si>
  <si>
    <t>Negative-pressure x-ray room</t>
  </si>
  <si>
    <t>Newborn intensive care</t>
  </si>
  <si>
    <t>Newborn intensive care formula room</t>
  </si>
  <si>
    <t>Newborn/well baby nursery suite</t>
  </si>
  <si>
    <t xml:space="preserve">Nonrefrigerated body-holding room </t>
  </si>
  <si>
    <t>H</t>
  </si>
  <si>
    <t>Nourishment area or room</t>
  </si>
  <si>
    <t>Nuclear medicine (Gamma, PET, SPECT)</t>
  </si>
  <si>
    <t>Nuclear medicine hot lab</t>
  </si>
  <si>
    <t>Nuclear medicine treatment room</t>
  </si>
  <si>
    <t xml:space="preserve">Nurse station </t>
  </si>
  <si>
    <t>AA</t>
  </si>
  <si>
    <t>Observation</t>
  </si>
  <si>
    <t>Occupational therapy</t>
  </si>
  <si>
    <t>Operating room, hybrid operating room</t>
  </si>
  <si>
    <t xml:space="preserve">Operating/surgical cystoscopic room </t>
  </si>
  <si>
    <t>Patient holding preparation</t>
  </si>
  <si>
    <t>Patient room</t>
  </si>
  <si>
    <t>y</t>
  </si>
  <si>
    <t>Pediatric play area</t>
  </si>
  <si>
    <t xml:space="preserve">Pharmacy </t>
  </si>
  <si>
    <t>Drug room</t>
  </si>
  <si>
    <t xml:space="preserve">HD ante room </t>
  </si>
  <si>
    <t>&lt;60</t>
  </si>
  <si>
    <t xml:space="preserve">HD buffer room </t>
  </si>
  <si>
    <t xml:space="preserve">HD segregated compounding area </t>
  </si>
  <si>
    <t>AB</t>
  </si>
  <si>
    <t>HD storage</t>
  </si>
  <si>
    <t xml:space="preserve">Non-HD ante room </t>
  </si>
  <si>
    <t xml:space="preserve">Non-HD buffer room </t>
  </si>
  <si>
    <t>Non-HD segregated compounding area</t>
  </si>
  <si>
    <t>Physical therapy (nursing facility)</t>
  </si>
  <si>
    <t>Physical therapy (diagnostic and treatment)</t>
  </si>
  <si>
    <t>Post-anesthesia care unit</t>
  </si>
  <si>
    <t>Pre-screening area</t>
  </si>
  <si>
    <t xml:space="preserve">Procedure room </t>
  </si>
  <si>
    <t xml:space="preserve">Protective environment anteroom </t>
  </si>
  <si>
    <t>(e)</t>
  </si>
  <si>
    <t>T</t>
  </si>
  <si>
    <t xml:space="preserve">Protective environment room </t>
  </si>
  <si>
    <t>Radiology waiting rooms</t>
  </si>
  <si>
    <t>q,w</t>
  </si>
  <si>
    <t>Recovery room</t>
  </si>
  <si>
    <t>Recreation/activity room</t>
  </si>
  <si>
    <t>Resident gathering/activity/dining (nursing facility)</t>
  </si>
  <si>
    <t>Resident room (nursing facility)</t>
  </si>
  <si>
    <t>Resident unit corridor (nursing facility) </t>
  </si>
  <si>
    <t>Seclusion room</t>
  </si>
  <si>
    <t>Semi-restricted corridor</t>
  </si>
  <si>
    <t>Shower room</t>
  </si>
  <si>
    <t>Soiled linen sorting and storage</t>
  </si>
  <si>
    <t>Soiled or decontamination room</t>
  </si>
  <si>
    <t xml:space="preserve">Soiled workroom or soiled holding, utility room </t>
  </si>
  <si>
    <t>Special purpose room (SNF &amp; ICF only)</t>
  </si>
  <si>
    <t>Speech therapy/audiology room</t>
  </si>
  <si>
    <t>Sterile storage</t>
  </si>
  <si>
    <t>Sterilizer equipment room</t>
  </si>
  <si>
    <t>Substerile service area</t>
  </si>
  <si>
    <t>Toilet room</t>
  </si>
  <si>
    <t>Trauma/ cardiac room (crisis or shock)</t>
  </si>
  <si>
    <t xml:space="preserve">Treatment room (surgery and critical care) </t>
  </si>
  <si>
    <t xml:space="preserve">Treatment room (diagnosticand treatment) </t>
  </si>
  <si>
    <t>Triage</t>
  </si>
  <si>
    <t>Ultrasound room</t>
  </si>
  <si>
    <t>Unsterile supply</t>
  </si>
  <si>
    <t>Waiting area (nuclear medicine)</t>
  </si>
  <si>
    <t>Waiting area primary care clinic</t>
  </si>
  <si>
    <t>Warewashing</t>
  </si>
  <si>
    <t>Wound intensive care (burn unit)</t>
  </si>
  <si>
    <t>40-60</t>
  </si>
  <si>
    <t>X-ray (diagnostic and treatment)</t>
  </si>
  <si>
    <t>X-ray (surgery/critical care and catheterization)</t>
  </si>
  <si>
    <t>cav weights and size</t>
  </si>
  <si>
    <t>CUSTOM FUNCTIONS LIST</t>
  </si>
  <si>
    <t>FUNCTION</t>
  </si>
  <si>
    <t xml:space="preserve">EXPANDED </t>
  </si>
  <si>
    <t>MIXEDAIRTEMP</t>
  </si>
  <si>
    <t>MIXEDAIRTEMP (CFM1,T1,CFM2,T2)</t>
  </si>
  <si>
    <t xml:space="preserve">RETURNS MIXED AIR TEMPRATURE IN F </t>
  </si>
  <si>
    <t>Size</t>
  </si>
  <si>
    <t>WEIGHT</t>
  </si>
  <si>
    <t>SENSIBLELOAD</t>
  </si>
  <si>
    <t>SENSIBLELOAD (CFM, EAT, LAT)</t>
  </si>
  <si>
    <t>RETRUNS SENSIBLE LOAD IN BTU/HR</t>
  </si>
  <si>
    <t>GetTRankineFromTFahrenheit</t>
  </si>
  <si>
    <t>Utility function to convert temperature to degree Rankine given temperature in degree Fahrenheit.</t>
  </si>
  <si>
    <t>GetTFahrenheitFromTRankine</t>
  </si>
  <si>
    <t>Utility function to convert temperature to degree Fahrenheit given temperature in degree Rankine.</t>
  </si>
  <si>
    <t>GetTKelvinFromTCelsius</t>
  </si>
  <si>
    <t>Utility function to convert temperature to Kelvin given temperature in degree Celsius.</t>
  </si>
  <si>
    <t>GetTCelsiusFromTKelvin</t>
  </si>
  <si>
    <t>Utility function to convert temperature to degree Celsius given temperature in Kelvin.</t>
  </si>
  <si>
    <t>GetTWetBulbFromTDewPoint</t>
  </si>
  <si>
    <t>Return wet-bulb temperature given dry-bulb temperature, dew-point temperature, and pressure.</t>
  </si>
  <si>
    <t>GetTWetBulbFromRelHum</t>
  </si>
  <si>
    <t>Return wet-bulb temperature given dry-bulb temperature, relative humidity, and pressure.</t>
  </si>
  <si>
    <t>GetRelHumFromTDewPoint</t>
  </si>
  <si>
    <t>Return relative humidity given dry-bulb temperature and dew-point temperature.</t>
  </si>
  <si>
    <t>CONVERSION FACTORS BASED ON ELEVATION</t>
  </si>
  <si>
    <t>GetRelHumFromTWetBulb</t>
  </si>
  <si>
    <t>Return relative humidity given dry-bulb temperature, wet bulb temperature and pressure.</t>
  </si>
  <si>
    <t>PRESSURE</t>
  </si>
  <si>
    <t>PSI</t>
  </si>
  <si>
    <t>GetTDewPointFromRelHum</t>
  </si>
  <si>
    <t>Return dew-point temperature given dry-bulb temperature and relative humidity.</t>
  </si>
  <si>
    <t>DENSITY OF AIR</t>
  </si>
  <si>
    <t>LB/FT3</t>
  </si>
  <si>
    <t>GetTDewPointFromTWetBulb</t>
  </si>
  <si>
    <t>Return dew-point temperature given dry-bulb temperature, wet-bulb temperature, and pressure.</t>
  </si>
  <si>
    <t>SENSIBLE FACTOR</t>
  </si>
  <si>
    <t>GetVapPresFromRelHum</t>
  </si>
  <si>
    <t>Return partial pressure of water vapor as a function of relative humidity and temperature.</t>
  </si>
  <si>
    <t>LATENT FACTOR</t>
  </si>
  <si>
    <t>GetRelHumFromVapPres</t>
  </si>
  <si>
    <t>Return relative humidity given dry-bulb temperature and vapor pressure.</t>
  </si>
  <si>
    <t>GetTWetBulbFromHumRatio</t>
  </si>
  <si>
    <t>Return wet-bulb temperature given dry-bulb temperature, humidity ratio, and pressure.</t>
  </si>
  <si>
    <t>GetHumRatioFromTWetBulb</t>
  </si>
  <si>
    <t>Return humidity ratio given dry-bulb temperature, wet-bulb temperature, and pressure.</t>
  </si>
  <si>
    <t>GetHumRatioFromRelHum</t>
  </si>
  <si>
    <t>Return humidity ratio given dry-bulb temperature, relative humidity, and pressure.</t>
  </si>
  <si>
    <t>GetRelHumFromHumRatio</t>
  </si>
  <si>
    <t>Return relative humidity given dry-bulb temperature, humidity ratio, and pressure.</t>
  </si>
  <si>
    <t>GetHumRatioFromTDewPoint</t>
  </si>
  <si>
    <t>Return humidity ratio given dew-point temperature and pressure.</t>
  </si>
  <si>
    <t>GetTDewPointFromHumRatio</t>
  </si>
  <si>
    <t>Return dew-point temperature given dry-bulb temperature, humidity ratio, and pressure.</t>
  </si>
  <si>
    <t>GetHumRatioFromVapPres</t>
  </si>
  <si>
    <t>Return humidity ratio given water vapor pressure and atmospheric pressure.</t>
  </si>
  <si>
    <t>GetVapPresFromHumRatio</t>
  </si>
  <si>
    <t>Return vapor pressure given humidity ratio and pressure.</t>
  </si>
  <si>
    <t>GetSpecificHumFromHumRatio</t>
  </si>
  <si>
    <t>Return the specific humidity from humidity ratio (aka mixing ratio).</t>
  </si>
  <si>
    <t>GetHumRatioFromSpecificHum</t>
  </si>
  <si>
    <t>Return the humidity ratio (aka mixing ratio) from specific humidity.</t>
  </si>
  <si>
    <t>GetDryAirEnthalpy</t>
  </si>
  <si>
    <t>Return dry-air enthalpy given dry-bulb temperature.</t>
  </si>
  <si>
    <t>GetDryAirDensity</t>
  </si>
  <si>
    <t>Return dry-air density given dry-bulb temperature and pressure.</t>
  </si>
  <si>
    <t>GetDryAirVolume</t>
  </si>
  <si>
    <t>Return dry-air volume given dry-bulb temperature and pressure.</t>
  </si>
  <si>
    <t>GetTDryBulbFromEnthalpyAndHumRatio</t>
  </si>
  <si>
    <t>Return dry bulb temperature from enthalpy and humidity ratio.</t>
  </si>
  <si>
    <t>GetHumRatioFromEnthalpyAndTDryBulb</t>
  </si>
  <si>
    <t>Return humidity ratio from enthalpy and dry-bulb temperature.</t>
  </si>
  <si>
    <t>GetSatVapPres</t>
  </si>
  <si>
    <t>Return saturation vapor pressure given dry-bulb temperature.</t>
  </si>
  <si>
    <t>GetSatHumRatio</t>
  </si>
  <si>
    <t>Return humidity ratio of saturated air given dry-bulb temperature and pressure.</t>
  </si>
  <si>
    <t>GetSatAirEnthalpy</t>
  </si>
  <si>
    <t>Return saturated air enthalpy given dry-bulb temperature and pressure.</t>
  </si>
  <si>
    <t>GetVaporPressureDeficit</t>
  </si>
  <si>
    <t>Return vapor pressure deficit given dry-bulb temperature, humidity ratio, and pressure.</t>
  </si>
  <si>
    <t>GetDegreeOfSaturation</t>
  </si>
  <si>
    <t>Return the degree of saturation (i.e humidity ratio of the air / humidity ratio of the air at saturation at the same temperature and pressure) given dry-bulb temperature, humidity ratio, and atmospheric pressure.</t>
  </si>
  <si>
    <t>GetMoistAirEnthalpy</t>
  </si>
  <si>
    <t>Return moist air enthalpy given dry-bulb temperature and humidity ratio.</t>
  </si>
  <si>
    <t>GetMoistAirVolume</t>
  </si>
  <si>
    <t>Return moist air specific volume given dry-bulb temperature, humidity ratio, and pressure.</t>
  </si>
  <si>
    <t>GetTDryBulbFromMoistAirVolumeAndHumRatio</t>
  </si>
  <si>
    <t>Return dry-bulb temperature given moist air specific volume, humidity ratio, and pressure.</t>
  </si>
  <si>
    <t>GetMoistAirDensity</t>
  </si>
  <si>
    <t>Return moist air density given humidity ratio, dry bulb temperature, and pressure.</t>
  </si>
  <si>
    <t>GetStandardAtmPressure</t>
  </si>
  <si>
    <t>Return standard atmosphere barometric pressure, given the elevation (altitude).</t>
  </si>
  <si>
    <t>GetStandardAtmTemperature</t>
  </si>
  <si>
    <t>Return standard atmosphere temperature, given the elevation (altitude).</t>
  </si>
  <si>
    <t>GetSeaLevelPressure</t>
  </si>
  <si>
    <t>Return sea level pressure given dry-bulb temperature, altitude above sea level and pressure.</t>
  </si>
  <si>
    <t>GetStationPressure</t>
  </si>
  <si>
    <t>Return station pressure from sea level pressure.</t>
  </si>
  <si>
    <t>CalcPsychrometricsFromTWetBulb</t>
  </si>
  <si>
    <t>Utility function to calculate humidity ratio, dew-point temperature, relative humidity, vapour pressure, moist air enthalpy, moist air volume, and degree of saturation of air given dry-bulb temperature, wet-bulb temperature, and pressure.</t>
  </si>
  <si>
    <t>CalcPsychrometricsFromTDewPoint</t>
  </si>
  <si>
    <t>Utility function to calculate humidity ratio, wet-bulb temperature, relative humidity, vapour pressure, moist air enthalpy, moist air volume, and degree of saturation of air given dry-bulb temperature, dew-point temperature, and pressure.</t>
  </si>
  <si>
    <t>CalcPsychrometricsFromRelHum</t>
  </si>
  <si>
    <t>Utility function to calculate humidity ratio, wet-bulb temperature, dew-point temperature, vapour pressure, moist air enthalpy, moist air volume, and degree of saturation of air given dry-bulb temperature, relative humidity and pressure.</t>
  </si>
  <si>
    <t>DESIGN OA (CFM)</t>
  </si>
  <si>
    <t>DESIGN SA (CFM)</t>
  </si>
  <si>
    <t>DESIGN EA (CFM)</t>
  </si>
  <si>
    <t>(˚F db)392</t>
  </si>
  <si>
    <t>(˚F db)403</t>
  </si>
  <si>
    <t>AHU REHEATING COIL</t>
  </si>
  <si>
    <t xml:space="preserve"> </t>
  </si>
  <si>
    <t>Ps (Actual System Population)</t>
  </si>
  <si>
    <t>Total Load</t>
  </si>
  <si>
    <t>Server</t>
  </si>
  <si>
    <t>Vac Pump</t>
  </si>
  <si>
    <t>Transformer</t>
  </si>
  <si>
    <t>Total 
BTUs</t>
  </si>
  <si>
    <t>Server Load 
(BTUs)</t>
  </si>
  <si>
    <t>Watts 
to BTUs</t>
  </si>
  <si>
    <t>Transformer 
BTUs</t>
  </si>
  <si>
    <t>Server Diversity</t>
  </si>
  <si>
    <t>Number of Servers</t>
  </si>
  <si>
    <t>Server Load 
(Watts)</t>
  </si>
  <si>
    <t>Transformer 
Efficiency</t>
  </si>
  <si>
    <t>Transformer 
(KVA)</t>
  </si>
  <si>
    <t>General Equipment 
(Watts)</t>
  </si>
  <si>
    <t>General Equipment 
(BTU/HR)</t>
  </si>
  <si>
    <t>Equipment</t>
  </si>
  <si>
    <t>Servers</t>
  </si>
  <si>
    <t>General Equipment</t>
  </si>
  <si>
    <t>Heat Generating Equipment</t>
  </si>
  <si>
    <t>Mechanical Room</t>
  </si>
  <si>
    <t>Watts Per Sqft 
from Equipment</t>
  </si>
  <si>
    <t>Height (ft)</t>
  </si>
  <si>
    <t>Area
(ft2)</t>
  </si>
  <si>
    <t xml:space="preserve">Room 
number </t>
  </si>
  <si>
    <t>Room 
Name</t>
  </si>
  <si>
    <t>Across FCU</t>
  </si>
  <si>
    <t>COOLING COIL PERFORMANCE</t>
  </si>
  <si>
    <t>HEATING COIL PERFORMANCE</t>
  </si>
  <si>
    <t>Unit Loads</t>
  </si>
  <si>
    <t>Unit Loads 
(sensible)</t>
  </si>
  <si>
    <t>Unit Loads 
(dehumidification)</t>
  </si>
  <si>
    <t>Outside Air (Summer)</t>
  </si>
  <si>
    <t>Room Type</t>
  </si>
  <si>
    <t>Winter Indoor DB</t>
  </si>
  <si>
    <t>Summer Indoor WB</t>
  </si>
  <si>
    <t>Summer Indoor DB</t>
  </si>
  <si>
    <t>199</t>
  </si>
  <si>
    <t>399</t>
  </si>
  <si>
    <t>10000</t>
  </si>
  <si>
    <t>CHILLER TAG</t>
  </si>
  <si>
    <t>DIVERSITY</t>
  </si>
  <si>
    <t>CONDENSER WATER GPM</t>
  </si>
  <si>
    <t>CONDENSER WATER LWT</t>
  </si>
  <si>
    <t>CONDENSER WATER EWT</t>
  </si>
  <si>
    <t>BOILER TAG</t>
  </si>
  <si>
    <t>BOILER EFFICIENCY</t>
  </si>
  <si>
    <t>INPUT MBH</t>
  </si>
  <si>
    <t>INPUT KW</t>
  </si>
  <si>
    <t>BOILER CAPACITY (MBH)</t>
  </si>
  <si>
    <t>CHILLER CAPACITY (TONS)</t>
  </si>
  <si>
    <t>Heat Rejection at Condenser (BTU/HR)</t>
  </si>
  <si>
    <t>TYPE</t>
  </si>
  <si>
    <t>MINIMUM</t>
  </si>
  <si>
    <t>V-Lookup For VAV Sizes</t>
  </si>
  <si>
    <t>Desired Room Balance</t>
  </si>
  <si>
    <t>Calculated VAV Max CFM</t>
  </si>
  <si>
    <t>Exhausted?</t>
  </si>
  <si>
    <t>Toilet</t>
  </si>
  <si>
    <t>Occupant Component</t>
  </si>
  <si>
    <t>Area Component</t>
  </si>
  <si>
    <t>Retail</t>
  </si>
  <si>
    <t>Misc Exhaust From Room</t>
  </si>
  <si>
    <t>CURRENT % OA</t>
  </si>
  <si>
    <t>EV Calculation Method</t>
  </si>
  <si>
    <t>EV CALC METHODS</t>
  </si>
  <si>
    <t>Normative Appendix A</t>
  </si>
  <si>
    <t>Standard</t>
  </si>
  <si>
    <t>Vps</t>
  </si>
  <si>
    <t>Photo</t>
  </si>
  <si>
    <t>Food</t>
  </si>
  <si>
    <t>Room Data</t>
  </si>
  <si>
    <t>Design Values</t>
  </si>
  <si>
    <t>FCU NAME</t>
  </si>
  <si>
    <t>Heating Coil</t>
  </si>
  <si>
    <t>Type</t>
  </si>
  <si>
    <t>FCU OPTIONS MATRIX</t>
  </si>
  <si>
    <t>Supply CFM</t>
  </si>
  <si>
    <t>Return CFM</t>
  </si>
  <si>
    <t>Return Drybulb</t>
  </si>
  <si>
    <t>Return Wetbulb</t>
  </si>
  <si>
    <t>Outside Air CFM</t>
  </si>
  <si>
    <t>Outside Air DB</t>
  </si>
  <si>
    <t>Outside Air WB</t>
  </si>
  <si>
    <t>Winter Temp</t>
  </si>
  <si>
    <t>Exfiltration CFM</t>
  </si>
  <si>
    <t>Mixed air DB</t>
  </si>
  <si>
    <t>Mixed air WB</t>
  </si>
  <si>
    <t>Mixed Air Enthalpy</t>
  </si>
  <si>
    <t>Leaving Air DB</t>
  </si>
  <si>
    <t>Leaving Air WB</t>
  </si>
  <si>
    <t>Leaving air Enthalpy</t>
  </si>
  <si>
    <t>Sensible Load</t>
  </si>
  <si>
    <t>Total Tonnage</t>
  </si>
  <si>
    <t>Heating CFM</t>
  </si>
  <si>
    <t xml:space="preserve">Mixed Air Heating </t>
  </si>
  <si>
    <t>Heating LAT</t>
  </si>
  <si>
    <t>Heating Sensible Load</t>
  </si>
  <si>
    <t>HWEWT</t>
  </si>
  <si>
    <t>HWLWT</t>
  </si>
  <si>
    <t>HW GPM</t>
  </si>
  <si>
    <t>Envelope Sensible Load 
(BTU/HR)</t>
  </si>
  <si>
    <t>Total Latent Load (BTUs/Hr)</t>
  </si>
  <si>
    <t>Make up Air or OA required (CFM)</t>
  </si>
  <si>
    <t>Room Temp DB</t>
  </si>
  <si>
    <t>Room Temp WB</t>
  </si>
  <si>
    <t>Envelope Latent Load 
(BTU/HR)</t>
  </si>
  <si>
    <t>Filter</t>
  </si>
  <si>
    <t>MIN CFM</t>
  </si>
  <si>
    <t>MAX CFM</t>
  </si>
  <si>
    <t>MIN RET CFM</t>
  </si>
  <si>
    <t>MAX RET CFM</t>
  </si>
  <si>
    <t>AH Min CFM Percentage</t>
  </si>
  <si>
    <t>Total Sensible Load (BTUs/Hr)</t>
  </si>
  <si>
    <t>Tag</t>
  </si>
  <si>
    <t>LAT DB</t>
  </si>
  <si>
    <t>LAT WB</t>
  </si>
  <si>
    <t>OAT DB</t>
  </si>
  <si>
    <t>OAT WB</t>
  </si>
  <si>
    <t>MAT DB</t>
  </si>
  <si>
    <t>MAT WB</t>
  </si>
  <si>
    <t>AIR TEMPERATURES</t>
  </si>
  <si>
    <t>lbs/hr</t>
  </si>
  <si>
    <t>Drain rate (GPM)</t>
  </si>
  <si>
    <t>Sports and Entertainment - Stages, studios</t>
  </si>
  <si>
    <t>Sports and Entertainment - Game arcades</t>
  </si>
  <si>
    <t>Sports and Entertainment - Gambling casinos</t>
  </si>
  <si>
    <t>Sports and Entertainment - Bowling alley (seating)</t>
  </si>
  <si>
    <t>Sports and Entertainment - Health club/weight rooms</t>
  </si>
  <si>
    <t>Sports and Entertainment - Health club/aerobics room</t>
  </si>
  <si>
    <t>Sports and Entertainment - Disco/dance floors</t>
  </si>
  <si>
    <t>Sports and Entertainment - Swimming (deck)</t>
  </si>
  <si>
    <t>Sports and Entertainment - Swimming (pool)</t>
  </si>
  <si>
    <t>Sports and Entertainment - Spectator areas</t>
  </si>
  <si>
    <t>Sports and Entertainment - Gym, sports arena (play area)</t>
  </si>
  <si>
    <t>Retail - Coin-operated laundries</t>
  </si>
  <si>
    <t>Retail - Supermarket</t>
  </si>
  <si>
    <t>Retail - Pet shops (animal areas)</t>
  </si>
  <si>
    <t>Retail - Beauty and nail salons</t>
  </si>
  <si>
    <t>Retail - Barbershop</t>
  </si>
  <si>
    <t>Retail - Mall common areas</t>
  </si>
  <si>
    <t>Retail - Sales (except as below)</t>
  </si>
  <si>
    <t>Residential - Common corridors</t>
  </si>
  <si>
    <t>Public Assembly Spaces - Museums/galleries</t>
  </si>
  <si>
    <t>Public Assembly Spaces - Museums (children’s)</t>
  </si>
  <si>
    <t>Public Assembly Spaces - Lobbies</t>
  </si>
  <si>
    <t>Public Assembly Spaces - Libraries (reading rooms and stack areas)</t>
  </si>
  <si>
    <t>Public Assembly Spaces - Legislative chambers</t>
  </si>
  <si>
    <t>Public Assembly Spaces - Courtrooms</t>
  </si>
  <si>
    <t>Public Assembly Spaces - Places of religious worship</t>
  </si>
  <si>
    <t>Public Assembly Spaces - Auditorium seating area</t>
  </si>
  <si>
    <t>Miscellaneous Spaces - All others</t>
  </si>
  <si>
    <t>Miscellaneous Spaces - Warehouses</t>
  </si>
  <si>
    <t>Miscellaneous Spaces - Transportation waiting</t>
  </si>
  <si>
    <t>Miscellaneous Spaces - Telephone closets</t>
  </si>
  <si>
    <t>Miscellaneous Spaces - Sorting, packing, light assembly</t>
  </si>
  <si>
    <t>Miscellaneous Spaces - Shipping/receiving</t>
  </si>
  <si>
    <t>Miscellaneous Spaces - Photo studios</t>
  </si>
  <si>
    <t>Miscellaneous Spaces - Pharmacy (prep. Area)</t>
  </si>
  <si>
    <t>Miscellaneous Spaces - General manufacturing (excludes heavy industrial and process using chemicals)</t>
  </si>
  <si>
    <t>Miscellaneous Spaces - Freezer and refrigerated spaces (&lt;50oF)</t>
  </si>
  <si>
    <t>Miscellaneous Spaces - Computer (not printing)</t>
  </si>
  <si>
    <t>Miscellaneous Spaces - Banks or bank lobbies</t>
  </si>
  <si>
    <t>Miscellaneous Spaces - Bank vaults/safe deposit</t>
  </si>
  <si>
    <t>Office Buildings - Telephone/data entry</t>
  </si>
  <si>
    <t>Office Buildings - Reception areas</t>
  </si>
  <si>
    <t>Office Buildings - Office space</t>
  </si>
  <si>
    <t>Office Buildings - storage rooms</t>
  </si>
  <si>
    <t>Office Buildings - Main entry lobbies</t>
  </si>
  <si>
    <t>Office Buildings - Break rooms</t>
  </si>
  <si>
    <t>Hotels, Motels, Resorts, Dormitories - Multipurpose assembly</t>
  </si>
  <si>
    <t>Hotels, Motels, Resorts, Dormitories - Lobbies/pre-function</t>
  </si>
  <si>
    <t>Hotels, Motels, Resorts, Dormitories - Laundry rooms within dwelling units</t>
  </si>
  <si>
    <t>Hotels, Motels, Resorts, Dormitories - Laundry rooms, central</t>
  </si>
  <si>
    <t>Hotels, Motels, Resorts, Dormitories - Barracks sleeping areas</t>
  </si>
  <si>
    <t>Hotels, Motels, Resorts, Dormitories - Bedroom/living room</t>
  </si>
  <si>
    <t>General - Occupiable storage rooms for liquids or gels</t>
  </si>
  <si>
    <t>General - Corridors</t>
  </si>
  <si>
    <t>General - Conference/meeting</t>
  </si>
  <si>
    <t>General - Coffee Stations</t>
  </si>
  <si>
    <t>General - Break rooms (not office)</t>
  </si>
  <si>
    <t>Food and Beverage Service - Kitchen (cooking)</t>
  </si>
  <si>
    <t>Food and Beverage Service - Bars, cocktail lounges</t>
  </si>
  <si>
    <t>Food and Beverage Service - Cafeteria/fast-food dining</t>
  </si>
  <si>
    <t>Food and Beverage Service - Restaurant dining rooms</t>
  </si>
  <si>
    <t>Educational Facilities - Multiuse assembly</t>
  </si>
  <si>
    <t>Educational Facilities - Music/theater/dance</t>
  </si>
  <si>
    <t>Educational Facilities - Media center</t>
  </si>
  <si>
    <t>Educational Facilities - Computer lab</t>
  </si>
  <si>
    <t>Educational Facilities - University/college laboratories</t>
  </si>
  <si>
    <t>Educational Facilities - Science laboratories</t>
  </si>
  <si>
    <t>Educational Facilities - Art classroom</t>
  </si>
  <si>
    <t>Educational Facilities - Lecture hall (fixed seats)</t>
  </si>
  <si>
    <t>Educational Facilities - Lecture/postsecondary classroom</t>
  </si>
  <si>
    <t>Educational Facilities - Classrooms (age 9 -18)</t>
  </si>
  <si>
    <t>Educational Facilities - Classrooms (ages 5-8)</t>
  </si>
  <si>
    <t>Educational Facilities - Daycare sickroom</t>
  </si>
  <si>
    <t>Educational Facilities - Daycare (through age 4)</t>
  </si>
  <si>
    <r>
      <t>Min Ventilation Air Rate for DCV</t>
    </r>
    <r>
      <rPr>
        <b/>
        <vertAlign val="superscript"/>
        <sz val="10"/>
        <rFont val="Calibri"/>
        <family val="2"/>
      </rPr>
      <t>2</t>
    </r>
    <r>
      <rPr>
        <b/>
        <sz val="10"/>
        <rFont val="Calibri"/>
        <family val="2"/>
      </rPr>
      <t xml:space="preserve"> Ra (cfm/ft2)</t>
    </r>
  </si>
  <si>
    <r>
      <t>Total Outdoor Air Rate</t>
    </r>
    <r>
      <rPr>
        <b/>
        <vertAlign val="superscript"/>
        <sz val="10"/>
        <rFont val="Calibri"/>
        <family val="2"/>
      </rPr>
      <t>1</t>
    </r>
    <r>
      <rPr>
        <b/>
        <sz val="10"/>
        <rFont val="Calibri"/>
        <family val="2"/>
      </rPr>
      <t> R</t>
    </r>
    <r>
      <rPr>
        <b/>
        <vertAlign val="subscript"/>
        <sz val="10"/>
        <rFont val="Calibri"/>
        <family val="2"/>
      </rPr>
      <t>t</t>
    </r>
    <r>
      <rPr>
        <b/>
        <sz val="10"/>
        <rFont val="Calibri"/>
        <family val="2"/>
      </rPr>
      <t xml:space="preserve"> (cfm/ft2)</t>
    </r>
  </si>
  <si>
    <t>Occupancy Category</t>
  </si>
  <si>
    <t>COOLING LOAD (CFM)</t>
  </si>
  <si>
    <t>HEATING LOAD (CFM)</t>
  </si>
  <si>
    <t>Additional OA For Balance</t>
  </si>
  <si>
    <t>CODE</t>
  </si>
  <si>
    <t>OADAMPER</t>
  </si>
  <si>
    <t>RELIEF FAN</t>
  </si>
  <si>
    <t>GUIDELINE 36</t>
  </si>
  <si>
    <t>EXHAUST RATE</t>
  </si>
  <si>
    <t>Arenas</t>
  </si>
  <si>
    <t>—</t>
  </si>
  <si>
    <t>Art classrooms</t>
  </si>
  <si>
    <t>Auto repair rooms</t>
  </si>
  <si>
    <t>Barber shops</t>
  </si>
  <si>
    <t>Beauty and nail salons</t>
  </si>
  <si>
    <t>Cells with toilet</t>
  </si>
  <si>
    <t>Copy, printing rooms</t>
  </si>
  <si>
    <t>Darkrooms</t>
  </si>
  <si>
    <t>Educational science laboratories</t>
  </si>
  <si>
    <t>Janitor closets, trash rooms, recycling</t>
  </si>
  <si>
    <t>Kitchenettes</t>
  </si>
  <si>
    <t>Kitchens — commercial</t>
  </si>
  <si>
    <t>Locker rooms for athletic or industrial facilities</t>
  </si>
  <si>
    <t>All other locker rooms</t>
  </si>
  <si>
    <t>Shower rooms</t>
  </si>
  <si>
    <t>G,H</t>
  </si>
  <si>
    <t>Paint spray booths</t>
  </si>
  <si>
    <t>Parking garages</t>
  </si>
  <si>
    <t>Pet shops (animal areas)</t>
  </si>
  <si>
    <t>Refrigerating machinery rooms</t>
  </si>
  <si>
    <t>Soiled laundry storage rooms</t>
  </si>
  <si>
    <t>Storage rooms, chemical</t>
  </si>
  <si>
    <t>Toilets — private</t>
  </si>
  <si>
    <t>25/50</t>
  </si>
  <si>
    <t>Toilets — public</t>
  </si>
  <si>
    <t>D</t>
  </si>
  <si>
    <t>Woodwork shop/classrooms</t>
  </si>
  <si>
    <t>EXHAUST RATE2</t>
  </si>
  <si>
    <t>TOTAL OA RATE
(CFM/FT²)</t>
  </si>
  <si>
    <t>TITLE 24 VENTILATION CALC</t>
  </si>
  <si>
    <t xml:space="preserve">NUMBER OF OCCUPANTS </t>
  </si>
  <si>
    <t>FIXED SEATING OR SPACE DESIGNED WITH EXCEPTION TO 1004.5</t>
  </si>
  <si>
    <t>MIN EA
(CFM)</t>
  </si>
  <si>
    <t>MIN VENT AIR FOR DCV (CFM/FT²)</t>
  </si>
  <si>
    <t>Vz (CFM)</t>
  </si>
  <si>
    <t>Vz (DCV CFM)</t>
  </si>
  <si>
    <t>DCV Required?</t>
  </si>
  <si>
    <t>Air Economizer?</t>
  </si>
  <si>
    <t>Occupancy Stanby Permitted?</t>
  </si>
  <si>
    <t>Occupancy Sensor Installed?</t>
  </si>
  <si>
    <t>Occupant Density</t>
  </si>
  <si>
    <t>VAV-1-1</t>
  </si>
  <si>
    <t>VAV-1-2</t>
  </si>
  <si>
    <t>VAV-1-3</t>
  </si>
  <si>
    <t>MULTIZONE AHU</t>
  </si>
  <si>
    <t>Required</t>
  </si>
  <si>
    <t>Table</t>
  </si>
  <si>
    <t>table_column</t>
  </si>
  <si>
    <t>Section title</t>
  </si>
  <si>
    <t>Section Applicable if</t>
  </si>
  <si>
    <t>Code</t>
  </si>
  <si>
    <t>Sequence</t>
  </si>
  <si>
    <t>yes</t>
  </si>
  <si>
    <t>Trim_and_Respond_Table</t>
  </si>
  <si>
    <t>Static Pressure</t>
  </si>
  <si>
    <t>Supply Fan Control</t>
  </si>
  <si>
    <t>Static_pressure</t>
  </si>
  <si>
    <t>All</t>
  </si>
  <si>
    <t>Supply Fan Start/Stop
a.	Supply fan shall run when system is in the Cooldown Mode, Setup Mode, or Occupied Mode.
b.	If there are any VAV-reheat boxes on perimeter zones, supply fan shall also run when system is in Setback Mode or Warmup Mode (i.e., all modes except unoccupied).
c.	Totalize current airflow rate from VAV boxes to a software point Vps. 
Static Pressure Set-Point Reset
a.	Static pressure setpoint. Setpoint shall be reset using T&amp;R logic (see Section 5.1.14 from ASHRAE guideline 36) using the parameters shown in trim and respond table. 
Static Pressure Control
a.	Supply fan speed is controlled to maintain DSP at setpoint when the fan is proven ON. Where the Zone Groups served by the system are small, provide multiple sets of gains that are used in the control loop as a function of a load indicator (such as supply-fan airflow rate, the area of the Zone Groups that are occupied, etc.).</t>
  </si>
  <si>
    <t>Supply Air Temperature Control</t>
  </si>
  <si>
    <t>SAT_Sequence</t>
  </si>
  <si>
    <t>Control loop is enabled when the supply air fan is proven ON, and disabled and output set to deadband (no heating, minimum economizer) otherwise.
Supply Air Temperature Setpoint
1.            Refer to drawings for Min_ClgSAT, Max_ClgSAT, OAT_Min, and OAT_Max setpoints
b.	During Occupied Mode and Setup Mode, setpoint shall be reset from Min_ClgSAT when the outdoor air temperature is OAT_Max and above, proportionally up to T-max when the outdoor air temperature is OAT_Min and below.
b1.	T-max shall be reset using T&amp;R logic (see Section 5.1.14 form ASHRAE Guideline 36) between Min_ClgSAT and Max_ClgSAT. The parameters shown in the trim and respond variables table are suggested as a starting place, but they will require adjustment during the commissioning/tuning phase.
c.	During Cooldown Mode, setpoint shall be Min_ClgSAT.
d.	During Warmup Mode and Setback Mode, setpoint shall be 35°C (95°F).
2.            Supply air temperature shall be controlled to setpoint using a control loop whose output is mapped to sequence the heating coil (if applicable), outdoor air damper, return air damper, and cooling coil as shown in Figure shown. 
a.	The points of transition along the x-axis shown and described in Figures in ASHRAE Guideline 36 are representative. Separate gains shall be provided for each section of the control map (heating coil, economizer, cooling coil) that is determined by the contractor to provide stable control. Alternatively, the contractor shall adjust the precise value of the x-axis thresholds shown in Figure to provide stable control. Damper control depends on the type of building pressure control system.</t>
  </si>
  <si>
    <t>Return_fan</t>
  </si>
  <si>
    <t>b.	For units with return fans
1.	Return air damper maximum position MaxRA-P is modulated to control minimum outdoor air volume (see Sections related to minimum outdoor air control).</t>
  </si>
  <si>
    <t>Relief_fan</t>
  </si>
  <si>
    <t>b.	For units with relief dampers or relief fans
1.	Economizer damper minimum position MinOA-P and/or return air damper maximum position MaxRA-P are modulated to control minimum outdoor air volume (see Sections related to minimum outdoor air control).</t>
  </si>
  <si>
    <t>min_and_econ_damper</t>
  </si>
  <si>
    <t>3.	For units with a separate minimum outdoor air damper, economizer damper minimum position MinOA-P is 0%, and return air damper maximum position MaxRA-P is modulated to control minimum outdoor air volume (see Sections related to minimum outdoor air control).</t>
  </si>
  <si>
    <t>single_damper</t>
  </si>
  <si>
    <t>3.	For units with a single common minimum outdoor air and economizer damper, return air damper maximum position MaxRA-P and economizer damper minimum position MinOA-P are modulated to control minimum outdoor air volume (see Section 5.16.6). Economizer damper maximum position MaxOA-P is limited during minimum outdoor air control (e.g., economizer lockout due to high OAT).</t>
  </si>
  <si>
    <t>OA Damper</t>
  </si>
  <si>
    <t>Minimum Outdoor Airflow Setpoints</t>
  </si>
  <si>
    <t>t24_oa</t>
  </si>
  <si>
    <t>Title 24</t>
  </si>
  <si>
    <t>1. Outdoor Airflow Setpoint for California Title 24 Ventilation
a.	See Section 5.2.1.4 for zone outdoor air rates Zone-Abs-OA-min and Zone Des OA min.
b.	See Section 3.1.4.2.b for setpoints AbsMinOA and DesMinOA.
c.	Effective outdoor air absolute minimum and design minimum setpoints are recalculated continuously based on the mode of the zones being served.
1.	AbsMinOA* is the sum of Zone-Abs-OA-min for all zones in all Zone Groups that are in Occupied Mode but shall be no larger than the absolute minimum outdoor airflow AbsMinOA.
2.	DesMinOA* is the sum of Zone-Des-OA-min for all zones in all Zone Groups that are in Occupied Mode but shall be no larger than the design minimum outdoor airflow DesMinOA.</t>
  </si>
  <si>
    <t>62.1_oa</t>
  </si>
  <si>
    <t>ahsrae 62.1</t>
  </si>
  <si>
    <t>1. Outdoor Airflow Setpoint for ASHRAE Standard 62.1-2016 Ventilation
a.	See Section 5.2.1.3 for zone outdoor air requirement Voz.
b.	See Section 3.1.4.2.a for setpoints DesVou and DesVot.
c.	The uncorrected outdoor air rate setpoint Vou is recalculated continuously based on the adjusted ventilation rates Vbz-A* and Vbz-P* of the zones being served determined in accordance with Section 5.2.1.3.
Calculate the uncorrected outdoor air rate Vou for all zones in all Zone Groups that are in Occupied Mode, but note that Vou shall be no larger than the design uncorrected outdoor air rate DesVou.
V_ou=MIN( DesV_ou  │(∑▒〖V_(〖bz-A〗^* )+∑▒V_(〖bz-P〗^* ) 〗))
d. Vps is the sum of the zone primary airflow rates Vpz as measured by VAV boxes for all zones in all Zone Groups that are in Occupied Mode.
e. For each zone in Occupied Mode, calculate the zone primary outdoor air fraction Zpz:
Zpz = Voz/Vpz
f.	Calculate the maximum zone outdoor air fraction Zp:
Zp = max(Zpz)
g. Calculate the current system ventilation efficiency Ev:
Ev = 1 + (Vou/Vps) – Zp
f. Calculate the effective minimum outdoor air setpoint MinOAsp as the uncorrected outdoor air intake divided by the system ventilation efficiency, but no larger than the design total outdoor air rate DesVot:
MinOAsp=MIN( V_ou/E_v   │  DesV_ot )</t>
  </si>
  <si>
    <t>Minimum OA Saperate Damper and airflow tracking</t>
  </si>
  <si>
    <t>min_and_econ_damper_62.1</t>
  </si>
  <si>
    <t>Ashrae 62.1</t>
  </si>
  <si>
    <t>1. Outdoor Airflow Setpoint for ASHRAE Standard 62.1-2016 Ventilation
a.	See Section above for calculation of current outdoor air setpoint MinOAsp.
Open the minimum outdoor air damper when the supply fan is proven ON, the AHU is in Occupied Mode and MinOAsp is greater than zero.  Minimum outdoor air damper shall be closed otherwise.</t>
  </si>
  <si>
    <t>min_and_econ_damper_24</t>
  </si>
  <si>
    <t>1. Outdoor Airflow Setpoint for California Title 24 Ventilation
a.	See Section above for calculation of current setpoints AbsMinOA* and DesMinOA*.
b.	See zone CO2 control logic under terminal unit sequences.
c.	The minimum outdoor air setpoint MinOAsp shall be reset based on the highest zone CO2 control-loop signal from AbsMinOA* at 50% signal to DesMinOA* at 100% signal.
Open the minimum outdoor air damper when the supply fan is proven ON, the AHU is in Occupied Mode and MinOAsp is greater than zero.  Minimum outdoor air damper shall be closed otherwise.</t>
  </si>
  <si>
    <t>OA and RA Damper</t>
  </si>
  <si>
    <t>Outdoor Air and Return Air Dampers</t>
  </si>
  <si>
    <t>min_and_econ_damper_Rreturnfan</t>
  </si>
  <si>
    <t>a.	For units with return fans
1.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2.	Minimum outdoor air control shall be enabled when the unit is in Occupied Mode and either of the following conditions are true for 10 minutes:
i.	The economizer high limit conditions in Section 5.1.17 are exceeded.
ii.	When the minimum outdoor air damper is open and the return air damper position is greater than MRA-P.
3.	When minimum outdoor air control is enabled, the normal sequencing of economizer outdoor air and return air dampers per Section 5.16.2 shall be suspended per the following sequence: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4.	Minimum outdoor air control shall be disabled when the unit is no longer in Occupied Mode, or both of the following conditions are true for 10 minutes:
i.	The economizer high limit conditions in Section 5.1.17 are exceeded.
ii.	The minimum outdoor air damper is closed or the return air damper position is 10% below MRA-P.
5.	When minimum outdoor air control is disabled:
i.	Economizer outdoor air damper shall be fully opened.
ii.	MaxRA-P shall be set to 100%.
iii.	Economizer and return air damper positions shall be controlled by the SAT control loop per Section 5.16.2.</t>
  </si>
  <si>
    <t>min_and_econ_damper_relieffan</t>
  </si>
  <si>
    <t>a.	For units with relief dampers or relief fans
1.	When the supply air fan is proven on and the system is in occupied mode and MinOAsp is greater than zero, the system shall calculate MOA-P.  The value of MOA-P shall scale from 5% when supply-fan speed is at 100% design speed proportionally up to 80% when the fan is at minimum speed.  When MOA-P is not being calculated for any reason, it shall be set to 0%.
2.	When the supply air fan is proven on and the system is in occupied mode and MinOAsp is greater than zero, the system shall calculate MRA-P.  The value of MRA-P shall scale from 95% when supply fan speed is at 100% design speed proportionally down to 20% when the fan is at minimum speed.  When MRA-P is not being calculated for any reason, it shall be set to 100%.
3.	Minimum outdoor air control shall be enabled when the unit is in Occupied Mode and either of the following conditions are true for 10 minutes:
i.	The economizer high limit conditions in Section 5.1.17 are exceeded.
ii.	When the minimum outdoor air damper is open and the economizer outdoor air damper position is less than MOA-P.
4.	When minimum outdoor air control is enabled, the normal sequencing of economizer outdoor air and return air dampers per Section 5.16.2 shall be superseded per the following:
i.	Fully open return air damper; and 
ii.	Wait 15 seconds, then close the economizer outdoor air damper; and
iii.	Wait 3 minutes, then release return air damper position for control by the SAT control loop in Section 5.16.2.  Economizer outdoor air damper remains closed.
iv.	The maximum return air damper position endpoint MaxRA-P shall be modulated from 100% to 0% to maintain airflow across the minimum outdoor air damper at setpoint MinOAsp.
5.	Minimum outdoor air control shall be disabled when the unit is no longer in Occupied Mode, or both of the following conditions are true for 10 minutes:
i.	The economizer high limit conditions in Section 5.1.17 are not exceeded.
ii.	The minimum outdoor air damper is closed or the return air damper position is 10% below MRA-P.
6.	When minimum outdoor air control is disabled:
i.	MaxRA-P shall be set to 100%.
ii.	Economizer and return air damper positions shall be controlled by the SAT control loop per Section 5.16.2.</t>
  </si>
  <si>
    <t>Minimum OA common Damper and airflow tracking</t>
  </si>
  <si>
    <t>single_damper_62.1</t>
  </si>
  <si>
    <t>Outdoor Airflow Setpoint for ASHRAE Standard 62.1-2016 Ventilation
a.	See Section 5.16.3.1 for calculation of current outdoor air setpoint MinOAsp.
Minimum Outdoor Air Control Loop
a.	Minimum outdoor air control loop is enabled when the supply fan is proven ON and the AHU is in Occupied Mode, and disabled and output set to zero otherwise.</t>
  </si>
  <si>
    <t>single_damper_24</t>
  </si>
  <si>
    <t>Outdoor Airflow Setpoint for California Title 24 Ventilation
a.	See Section 5.16.3.2 for calculation of current setpoints AbsMinOA* and DesMinOA*.
b.	See zone CO2 control logic under terminal unit sequences.
c.	The minimum outdoor air setpoint MinOAsp shall be reset based on the highest zone CO2 control-loop signal from AbsMinOA* at 50% signal to DesMinOA* at 100% signal.
Minimum Outdoor Air Control Loop
a.	Minimum outdoor air control loop is enabled when the supply fan is proven ON and the AHU is in Occupied Mode, and disabled and output set to zero otherwise.</t>
  </si>
  <si>
    <t>single_damper_returnfan</t>
  </si>
  <si>
    <t>For units with return fans:
1.	The outdoor airflow rate shall be maintained at the minimum outdoor damper outdoor airflow setpoint MinOAsp by a direct-acting control loop whose output is mapped to the return air damper maximum position endpoint MaxRA-P.
2.	While the unit is in Occupied Mode, if the economizer high limit conditions in Section 5.1.17 are exceeded for 10 minutes, outdoor air shall be controlled to the minimum outdoor airflow.  When this occurs, the normal sequencing of the return air damper by the SAT control loop is suspended, and the return air damper position shall be modulated directly to maintain measured airflow at MinOAsp (i.e. return damper position shall equal MaxRA-P).  The economizer damper shall remain open.
3.	If the economizer high limit conditions in Section 5.1.17 are not exceeded for 10 minutes, or the unit is no longer in Occupied Mode, release return damper to control by the SAT control loop (i.e. return damper position is limited by MaxRA-P endpoint, but is not directly controlled to equal MaxRA-P).</t>
  </si>
  <si>
    <t>single_damper_relieffan</t>
  </si>
  <si>
    <t>For units with relief dampers or relief fans:
1.	The outdoor airflow rate shall be maintained at the minimum outdoor air setpoint MinOAsp by a reverse-acting control loop whose output is mapped to economizer damper minimum position MinOA-P and return air damper maximum position MaxRA-P as indicated in Figure 5.16.6.3.
2.	While the unit is in Occupied Mode, if the economizer high limit conditions in Section 5.1.17 are exceeded for 10 minutes, outdoor airflow shall be controlled to the minimum outdoor airflow setpoint, MinOAsp.  When this occurs, the normal sequencing of the return air damper by the SAT control loop is suspended as follows:
i.	Fully open the return air damper
ii.	Wait 15 seconds, then set MaxOA-P equal to MinOA-P
iii.	Wait 3 minutes, then modulate the return air damper to maintain the measured airflow at MinOAsp (i.e. return air damper position shall equal MaxRA-P).
3.	If the economizer high limit conditions in Section 5.1.17 are not exceeded for 10 minutes, or the unit is no longer in Occupied Mode, set MaxOA-P = 100% and release the return air damper to control by the SAT control loop (i.e. return air damper position is limited by the MaxRA-P endpoint, but is not directly controlled to equal MaxRA-P).</t>
  </si>
  <si>
    <t>Relief Damper</t>
  </si>
  <si>
    <t>Control of Actuated Relief Dampers without Fans</t>
  </si>
  <si>
    <t>relief_damper_no_return_fan_static_pressure</t>
  </si>
  <si>
    <t>Control of Actuated Relief Dampers without Fans
Relief dampers shall be enabled when the associated supply fan is proven ON, and disabled otherwise. 
When enabled, use a P-only control loop to modulate relief dampers to maintain 12 Pa (0.05 in. of water) building static pressure. Close damper when disabled.</t>
  </si>
  <si>
    <t>Relief fan</t>
  </si>
  <si>
    <t>Relief fan control</t>
  </si>
  <si>
    <t>relief_fan_building_pressure</t>
  </si>
  <si>
    <t>See Section 3.1.4.5 for pressure Zone Group assignments.
Relief fans shall be lead/lag alternated per Section 5.1.15.3.
All operating relief fans that serve a pressure zone shall be grouped and controlled as if they were one system, running at the same speed when enabled and using the same control loop, even if they are associated with different AHUs.
A relief fan shall be enabled when its associated supply fan is proven on, and shall be disabled otherwise.
Building static pressure shall be time averaged with a sliding 5-minute window and 15 second sampling rate (to dampen fluctuations). The averaged value shall be that displayed and used for control.
a.	Where multiple building pressure sensors are used, each shall be time-averaged and the highest of the averaged values for sensors within a pressure zone shall be used for control.
A single P-only control loop for each pressure zone shall maintains the building pressure at a setpoint of 12 Pa (0.05 in. of water) with an output ranging from 0% to 100%. The loop shall be enabled when any supply fan within the pressure zone is proven ON. The loop is disabled with output set to zero otherwise.
5.16.9.7.	Fan speed signal to all operating fans in the relief system group shall be the same and shall be equal to the PID signal but no less than the minimum speed. Except for Stage 0, discharge dampers of all relief fans shall be open only when fan is commanded ON. 
a.	Stage 0 (barometric relief). When relief system is enabled, and the control loop output is above 5%, open the motorized dampers to all relief fans serving the relief system group that are enabled; close the dampers when the loop output drops to 0% for 5 minutes.
b.	Stage Up. When control loop is above minimum speed plus 15%, start stage-up timer. Each time the timer reaches 7 minutes, start the next relief fan (and open the associated damper) in the relief system group, per staging order, and reset the timer to 0. The timer is reset to 0 and frozen if control loop is below minimum speed plus 15%. 
1.	For systems where relief fans share a common relief fan inlet plenum:  When staging from Stage 0 (no relief fans) to Stage 1 (one relief fan), the relief dampers of all nonoperating relief fans must be closed.
2.	For systems where relief fans do not share a common relief fan inlet plenum: When staging from Stage 0 (no relief fans) to Stage 1 (one relief fan), the discharge dampers of all nonoperating relief fans shall remain open when the associated supply fan is proven ON.
c.	Stage Down. When PID loop is below minimum speed, start stage-down timer. Each time the timer reaches 5 minutes, shut off lag fan per staging order and reset the timer to 0. The timer is reset to 0 and frozen if PID loop rises above minimum speed or all fans are OFF. If all fans are OFF, go to Stage 0 (all dampers open and all fans OFF).</t>
  </si>
  <si>
    <t>Return Fan</t>
  </si>
  <si>
    <t>Building pressure Control</t>
  </si>
  <si>
    <t>return_fan_building_pressure_Control</t>
  </si>
  <si>
    <t>Return-Fan Control − Direct Building Pressure
See Section 3.1.4.5 for pressure Zone Group assignments.
Return fan operates whenever the associated supply fan is proven ON and shall be off otherwise.
Return fans shall be controlled to maintain return-fan discharge static pressure at setpoint (Section 5.16.10.5).
Building static pressure shall be time averaged with a sliding 5-minute window and 15 second sampling rate (to dampen fluctuations). The averaged value shall be that displayed and used for control.
a.	Where multiple building pressure sensors are used, the highest of the averaged values for sensors within a pressure zone shall be used for control.
A single P-only control loop for each pressure zone shall modulate to maintain the building pressure at a setpoint of 12 Pa (0.05 in. of water) with an output ranging from 0% to 100%.  The loop shall be enabled when the supply and return fans for any unit within the pressure zone are proven ON and the minimum outdoor air damper is open.  The exhaust dampers shall be closed with loop output set to zero otherwise.  All exhaust damper and return fan static pressure setpoints for units in an associated pressure zone shall be sequenced based on building pressure control loop output signal, as shown in Figure 5.16.10.5 from ASHRAE guideline 36.
a.	From 0% to 50%, the building pressure control loop shall modulate the exhaust dampers from 0% to 100% open.
b.	From 51% to 100%, the building pressure control loop shall reset the return-fan discharge static pressure setpoint from RFDSPmin at 50% loop output to RFDSPmax at 100% of loop output. See Section 3.2.1.4 for RFDSPmin and RFDSPmax.</t>
  </si>
  <si>
    <t>Airflow tracking Control</t>
  </si>
  <si>
    <t>return_fan_airflow_tracking</t>
  </si>
  <si>
    <t xml:space="preserve">Return-Fan Control − Airflow Tracking
Return fan operates whenever associated supply fan is proven ON.
The active differential airflow setpoint S-R-DIFF* shall be S-R-DIFF for the entire system (see Section 3.2.1.5) adjusted by the sum of the area component of the breathing zone outdoor air flow rate of zones in Zone Groups that are in Occupied Mode relative to that in all zones served by the system.
Return-fan speed shall be controlled to maintain return airflow equal to supply airflow less differential S-R-DIFF*. Where multiple air handling units share a common return fan (i.e. dual fan dual duct), return fan speed shall be controlled to maintain return airflow equal to total supply airflow of all associated units less differential S-R-DIFF*.
Supply fan airflow shall be limited by a reverse-acting P-only loop whose setpoint is (Vrf-max + S-R-DIFF*) and whose output is maximum supply fan speed ranging from 0% to 100%.
Relief/exhaust dampers shall be enabled when the associated supply and return fans are proven ON and closed otherwise. Exhaust dampers shall modulate as the inverse of the return air damper per Section 5.16.2.3. Use the following euation to calculate: </t>
  </si>
  <si>
    <t>return_fan_airflow_tracking_62.1</t>
  </si>
  <si>
    <t>〖S-R-DIFF〗^*= S-R-DIFF (∑_(all Occupied Zones)▒V_(bz-A) )/(∑_(all Zones)▒V_(bz-A) )</t>
  </si>
  <si>
    <t>return_fan_airflow_tracking_24</t>
  </si>
  <si>
    <t>〖S-R-DIFF〗^*= S-R-DIFF (∑_(all Occupied Zones)▒V_(area-min) )/(∑_(all Zones)▒V_(area-min) )</t>
  </si>
  <si>
    <t>Freeze Protection</t>
  </si>
  <si>
    <t>freeze_protection</t>
  </si>
  <si>
    <t>If the supply air temperature drops below 4.4°C (40°F) for 5 minutes, send two (or more, as required to ensure that heating plant is active) heating hot-water plant requests, override the outdoor air damper to the minimum position, and modulate the heating coil to maintain a supply air temperature of at least 6°C (42°F). Disable this function when supply air temperature rises above 7°C (45°F) for 5 minutes.
If the supply air temperature drops below 3.3°C (38°F) for 5 minutes, fully close both the economizer damper and the minimum outdoor air damper for 1 hour and set a Level 3 alarm noting that minimum ventilation was interrupted. After 1 hour, the unit shall resume minimum outdoor air ventilation and enter the previous stage of freeze protection.
If it is warm enough that the SAT rises above 7°C (45°F) with minimum ventilation, the unit will remain in Stage 1 freeze protection for 5 minutes then resume normal operation.
Upon signal from the freeze-stat (if installed), or if supply air temperature drops below 3.3°C (38°F) for 15 minutes or below 1°C (34°F) for 5 minutes, shut down supply and return/relief fan(s), close outdoor air damper, open the cooling-coil valve to 100%, and energize the CHW pump system. Also send two (or more, as required to ensure that heating plant is active) heating hot-water plant requests, modulate the heating coil to maintain the higher of the supply air temperature or the mixed air temperature at 27°C (80°F), and set a Level 2 alarm indicating the unit is shut down by freeze protection.
If a freeze-protection shutdown is triggered by a low air temperature sensor reading, it shall remain in effect until it is reset by a software switch from the operator’s workstation. (If a freeze-stat with a physical reset switch is used instead, there shall be no software reset switch.)</t>
  </si>
  <si>
    <t>Alarms</t>
  </si>
  <si>
    <t>alarms</t>
  </si>
  <si>
    <t>Maintenance interval alarm when fan has operated for more than 1500 hours: Level 4. Reset interval count when alarm is acknowledged.
Fan alarm is indicated by the status being different from the command for a period of 15 seconds.
Commanded on, status off: Level 2
Commanded off, status on: Level 4
Filter pressure drop exceeds the larger of the alarm limit or 12.5 Pa (0.05”) for 10 minutes when airflow (expressed as a percentage of design airflow or design speed if total airflow is not known) exceeds 20%: Level 4. The alarm limit shall vary with total airflow (if available; use fan speed if total airflow is not known) as follows:
DP_x=DP_100 (x)^1.4
where DP100 is the high-limit pressure drop at design airflow (determine limit from filter manufacturer) and DPx is the high limit at the current airflow rate x (expressed as a fraction). For instance, the setpoint at 50% of design airflow would be (0.5)1.4, or 38% of the design high-limit pressure drop.  See Section 3.1.4.4 for DP100.
High building pressure (more than 25 Pa [0.10 in. of water]) for 5 minutes: Level 3.
Low building pressure (less than 0 Pa [0.0 in. of water], i.e., negative) for 5 minutes: Level 4.</t>
  </si>
  <si>
    <t>Automatic Fault Detection and Diagnostics</t>
  </si>
  <si>
    <t>AFDS</t>
  </si>
  <si>
    <t>Testing or Commissioning Overrides</t>
  </si>
  <si>
    <t>Commissioning_overrides</t>
  </si>
  <si>
    <t>Testing/Commissioning Overrides. Provide software switches that interlock to a CHW and hot-water plant level to
a.	force HW valve full open if there is a hot-water coil,
b.	force HW valve full closed if there is a hot-water coil,
c.	force CHW valve full open, and
d.	force CHW valve full closed.</t>
  </si>
  <si>
    <t>Plant Requests</t>
  </si>
  <si>
    <t>Plant_requests</t>
  </si>
  <si>
    <t>Chilled-Water Reset Requests
a.	If the supply air temperature exceeds the supply air temperature setpoint by 3°C (5°F) for 2 minutes, send 3 requests.
b.	Else if the supply air temperature exceeds the supply air temperature setpoint by 2°C (3°F) for 2 minutes, send 2 requests.
c.	Else if the CHW valve position is greater than 95%, send 1 request until the CHW valve position is less than 85%.
d.	Else if the CHW valve position is less than 95%, send 0 requests.
Chiller Plant Requests. Send the chiller plant that serves the system a chiller plant request as follows:
a.	If the CHW valve position is greater than 95%, send 1 request until the CHW valve position is less than 10%.
b.	Else if the CHW valve position is less than 95%, send 0 requests. 
If There Is a Hot-Water Coil, Hot-Water Reset Requests
a.	If the supply air temperature is 17°C (30°F) less than setpoint for 5 minutes, send 3 requests.
b.	Else if the supply air temperature is 8°C (15°F) less than setpoint for 5 minutes, send 2 requests.
c.	Else if HW valve position is greater than 95%, send 1 request until the HW valve position is less than 85%.
d.	Else if the HW valve position is less than 95%, send 0 requests.
If There Is a Hot-Water Coil, Heating Hot Water Plant Requests. Send the heating hot-water plant that serves the AHU a heating hot-water plant request as follows:
a.	If the HW valve position is greater than 95%, send 1 request until the HW valve position is less than 10%.
b.	Else if the HW valve position is less than 95%, send 0 requests.</t>
  </si>
  <si>
    <t>AIRFLOW</t>
  </si>
  <si>
    <t>Supply system base allowance for AHU serving spaces ≤ 6 floors away)</t>
  </si>
  <si>
    <t>Supply system base allowance for AHU serving spaces &gt; 6 floors away</t>
  </si>
  <si>
    <t>Central hydronic heating coil allowance</t>
  </si>
  <si>
    <t>Electric heat allowance</t>
  </si>
  <si>
    <t>Gas heat allowance</t>
  </si>
  <si>
    <t>Solid or liquid desiccant system allowance</t>
  </si>
  <si>
    <t>Reheat coil for dehumidification allowance</t>
  </si>
  <si>
    <t>Coil runaround loop</t>
  </si>
  <si>
    <t>Economizer return damper</t>
  </si>
  <si>
    <t>Air blender allowance</t>
  </si>
  <si>
    <t>Sound attenuation section [fans serving spaces with design background noise goals below NC35]</t>
  </si>
  <si>
    <t>Deduction for systems that feed a terminal unit with a fan with electrical input power &lt; 1 kW</t>
  </si>
  <si>
    <t>Low-turndown single-zone VAV fan systems meeting the requirements in Note 7.</t>
  </si>
  <si>
    <t>MERV 13 to MERV 16 filter upstream of thermal conditioning equipment (two times the clean filter pressure drop)2</t>
  </si>
  <si>
    <t>MERV 13 to MERV 16 final filter downstream of thermal conditioning equipment (two times the clean filter pressure drop)2</t>
  </si>
  <si>
    <t>Filtration allowance for &gt; MERV 16 or HEPA filter (two times the clean filter pressure drop)2</t>
  </si>
  <si>
    <t>Hydronic/DX cooling coil or heat pump coil (wet) allowance3</t>
  </si>
  <si>
    <t>Allowance for 100% outdoor air system5</t>
  </si>
  <si>
    <t>Energy recovery allowance for 0.50 ≤ ERR &lt;0.556</t>
  </si>
  <si>
    <t>Energy recovery allowance for 0.55 ≤ ERR &lt;0.606</t>
  </si>
  <si>
    <t>Energy recovery allowance for 0.60 ≤ ERR &lt;0.656</t>
  </si>
  <si>
    <t>Energy recovery allowance for 0.65 ≤ ERR &lt;0.706</t>
  </si>
  <si>
    <t>Energy recovery allowance for 0.70 ≤ ERR &lt;0.756</t>
  </si>
  <si>
    <t>Energy recovery allowance for 0.75 ≤ ERR &lt;0.806</t>
  </si>
  <si>
    <t>Energy recovery allowance for ERR ≥ 0.806</t>
  </si>
  <si>
    <t>Allowance for gas phase filtration. Value shown is allowed w/cfm per 1.0 in. w.g. air pressure drop. [Calculation required, see Note 4]</t>
  </si>
  <si>
    <t>MULTI ZONE VAV 5000</t>
  </si>
  <si>
    <t>MULTI ZONE VAV 5000 - 10000</t>
  </si>
  <si>
    <t>MULTI ZONE VAV 10000</t>
  </si>
  <si>
    <t xml:space="preserve"> ALL OTHER 5000</t>
  </si>
  <si>
    <t>ALL OTHER 5000 - 10000</t>
  </si>
  <si>
    <t>ALL OTHER 10000</t>
  </si>
  <si>
    <t>Allowance for evaporative humidifier/cooler in series with a cooling coil. Value shown is allowed watts/cfm per 1.0 inch of water gauge (in. w.g.) Determine pressure loss (in. w.g.) at 400 fpm or maximum velocity allowed by the manufacturer, whichever is less. [Calculation required, see Note 4]</t>
  </si>
  <si>
    <t>MULTIZONE</t>
  </si>
  <si>
    <t>COMPONENT</t>
  </si>
  <si>
    <t>ALLOWANCE (WATTS/CFM)</t>
  </si>
  <si>
    <t>ALLOWABLE HP</t>
  </si>
  <si>
    <t>SUPPLY FAN</t>
  </si>
  <si>
    <t>Supply fan</t>
  </si>
  <si>
    <t>retrun Fan</t>
  </si>
  <si>
    <t>Branch Size</t>
  </si>
  <si>
    <t>SIZE</t>
  </si>
  <si>
    <t>SOUND SENSITIVE</t>
  </si>
  <si>
    <t xml:space="preserve">SOUND SENSITIVE ROOMS? </t>
  </si>
  <si>
    <t>BRANCH SIZE (IN)</t>
  </si>
  <si>
    <t>VAV-1-03</t>
  </si>
  <si>
    <t>VAV-1-04</t>
  </si>
  <si>
    <t>VAV-1-05</t>
  </si>
  <si>
    <t>VAV-1-06</t>
  </si>
  <si>
    <t>VAV-1-07</t>
  </si>
  <si>
    <t>VAV-1-08</t>
  </si>
  <si>
    <t>VAV-1-09</t>
  </si>
  <si>
    <t>VAV-1-10</t>
  </si>
  <si>
    <t>VAV-1-11</t>
  </si>
  <si>
    <t>VAV-1-12</t>
  </si>
  <si>
    <t>DESIGN VALUES</t>
  </si>
  <si>
    <t>EXHAUST ZONE</t>
  </si>
  <si>
    <t>EF TAG</t>
  </si>
  <si>
    <t>exhaust zone</t>
  </si>
  <si>
    <t>Sensible Const.</t>
  </si>
  <si>
    <t>Total Heat</t>
  </si>
  <si>
    <t>Waterside Const</t>
  </si>
  <si>
    <t>ROOM CODE</t>
  </si>
  <si>
    <t>ROOM NAME</t>
  </si>
  <si>
    <t>Indoor Temperature Cooling F</t>
  </si>
  <si>
    <t>Indoor Temperature Heating F</t>
  </si>
  <si>
    <t>Indoor Relative Humidity % RH MAX</t>
  </si>
  <si>
    <t>Indoor Relative Humidity % RH MIN</t>
  </si>
  <si>
    <t>Minimum Total ACH</t>
  </si>
  <si>
    <t>Minimum OA ACH</t>
  </si>
  <si>
    <t>Room Air Return Exhaust G Exhaust S</t>
  </si>
  <si>
    <t>Maximum Noise Level NC</t>
  </si>
  <si>
    <t>Room Air Balance</t>
  </si>
  <si>
    <t>Individual Room Control Temp</t>
  </si>
  <si>
    <t>Individual Room Control Flow</t>
  </si>
  <si>
    <t>Unoccupied ACH</t>
  </si>
  <si>
    <t>Note 1</t>
  </si>
  <si>
    <t>Note 2</t>
  </si>
  <si>
    <t>Note 3</t>
  </si>
  <si>
    <t>Note 4</t>
  </si>
  <si>
    <t>Note 5</t>
  </si>
  <si>
    <t>Note 6</t>
  </si>
  <si>
    <t>Note 7</t>
  </si>
  <si>
    <t>Note 8</t>
  </si>
  <si>
    <t>Note 9</t>
  </si>
  <si>
    <t>AUTOPSY SUITE</t>
  </si>
  <si>
    <t>General:  The room names listed are from the VA PG 18-9 Chapter 240 Revised October 3, 2016.  The actual room layouts, equipment disposition, and the HVAC parameters may vary with the project scope of work.</t>
  </si>
  <si>
    <t xml:space="preserve">AUTOPSY SUITE </t>
  </si>
  <si>
    <t>LBAR1</t>
  </si>
  <si>
    <t>Autopsy Room</t>
  </si>
  <si>
    <t>Exhaust (S)</t>
  </si>
  <si>
    <t>( - )</t>
  </si>
  <si>
    <t>CV</t>
  </si>
  <si>
    <t>Note 1 - Air Distribution. Locate exhaust air intakes at the ceiling and floor level. Locate the floor level inlets approximately 7 in [175 mm] above the floor.</t>
  </si>
  <si>
    <t>Note 2 - Canopy Hood. A canopy hood may be required over the dissecting tables to capture exhaust at the maximum rate of 100 fpm [0.5 m/s] through the hood face area. Coordinate the exhaust air volume and exhaust location with the manufacturer of the dissecting tables.</t>
  </si>
  <si>
    <t>Note 3 - Room Noise Level. Noise level lower than NC 35 may be required where audio/video recording is performed.</t>
  </si>
  <si>
    <t>Note 4 - Occupied and Unoccupied Modes. Evaluate the feasibility of providing occupied/unoccupied modes based on anticipated usage of these spaces.</t>
  </si>
  <si>
    <t>LBTS1</t>
  </si>
  <si>
    <t>Gross Specimen Storage Room</t>
  </si>
  <si>
    <t>Note 1 - Air Distribution. Coordinate location of the exhaust air inlet over the sink and counter area to capture the exhaust air fumes.</t>
  </si>
  <si>
    <t>Biomedical Laboratory Research &amp; Development (BLR&amp;D)</t>
  </si>
  <si>
    <t>SB173</t>
  </si>
  <si>
    <t>BLR&amp;D Female Staff Shower, Bldg Sprt</t>
  </si>
  <si>
    <t>Exhaust (G)</t>
  </si>
  <si>
    <t>(-)</t>
  </si>
  <si>
    <t>Note 1 - Room Air Balance. Transfer supply air to the toilets and showers. Maintain locker rooms under negative air balance with respect to the adjoining spaces.</t>
  </si>
  <si>
    <t>SB184</t>
  </si>
  <si>
    <t>BLR&amp;D Male Staff Shower, Bldg Sprt</t>
  </si>
  <si>
    <t>SB202</t>
  </si>
  <si>
    <t>BLR&amp;D Female Staff Toilet, Bldg Sprt</t>
  </si>
  <si>
    <t>SB203</t>
  </si>
  <si>
    <t>BLR&amp;D Male Staff Toilet, Bldg Sprt</t>
  </si>
  <si>
    <t>SB244</t>
  </si>
  <si>
    <t>BLR&amp;D Housekeeping Aides Closet (HAC), Bldg Sprt</t>
  </si>
  <si>
    <t>(- -)</t>
  </si>
  <si>
    <t>SB653</t>
  </si>
  <si>
    <t>BLR&amp;D Mailroom, Lgstcs Scv</t>
  </si>
  <si>
    <t>Return</t>
  </si>
  <si>
    <t>(o)</t>
  </si>
  <si>
    <t>VAV</t>
  </si>
  <si>
    <t>SB773</t>
  </si>
  <si>
    <t>BLR&amp;D Conference / Multipurpose Room, Lgstcs Svc</t>
  </si>
  <si>
    <t>Note 1 - Energy Conservation Initiative. Evaluate the feasibility of using a carbon-dioxide (CO2) and/or occupancy sensors to conserve energy during part load conditions. The control sequence shall be
project-specific. Follow requirements in ASHRAE Standard 62.1 - 2016 or the latest approved edition.</t>
  </si>
  <si>
    <t>SC701</t>
  </si>
  <si>
    <t>BLR&amp;D Lab Access / Protocol Room, R&amp;D</t>
  </si>
  <si>
    <t>(+)</t>
  </si>
  <si>
    <t>Note 1 - Supply Air Volume. Increase the supply air volume, as required, to meet the transfer air demands of the adjoining spaces, such as, toilets, janitor closets, soiled utility rooms, laboratories, spaces requiring negative air balance, and exterior doors requiring ex-filtration.</t>
  </si>
  <si>
    <t>SC702</t>
  </si>
  <si>
    <t>BLR&amp;D Bench Unit, R&amp;D</t>
  </si>
  <si>
    <t>CV or VAV</t>
  </si>
  <si>
    <t>Note 1 - Where VAV supply is provided, an exhaust valve shall also be provided to ensure room balance is maintained.</t>
  </si>
  <si>
    <t>Note 2 - Room air can be returned only if chemicals are not used in the room.</t>
  </si>
  <si>
    <t>SC703</t>
  </si>
  <si>
    <t>BLR&amp;D Ghost Corridor. R&amp;D</t>
  </si>
  <si>
    <t>SC704</t>
  </si>
  <si>
    <t>BLR&amp;D Bench Support, R&amp;D</t>
  </si>
  <si>
    <t>SC711</t>
  </si>
  <si>
    <t>BLR&amp;D Core Room, R&amp;D</t>
  </si>
  <si>
    <t>Note 1 -  Where VAV supply is provided, an exhaust valve shall also be provided to ensure room balance is maintained.</t>
  </si>
  <si>
    <t>SC712</t>
  </si>
  <si>
    <t>BLR&amp;D Microscopy Room, R&amp;D</t>
  </si>
  <si>
    <t>Provide vibration control to prevent interfering with the electron microscope.</t>
  </si>
  <si>
    <t>SC713</t>
  </si>
  <si>
    <t>BLR&amp;D Glassware Washing / Sterilization Room, R&amp;D</t>
  </si>
  <si>
    <t>Note 1 -  Wet Exhaust System. Provide a wet exhaust system.</t>
  </si>
  <si>
    <t>SC714</t>
  </si>
  <si>
    <t>BLR&amp;D Walk-in Refrigerator / Cold Room, R&amp;D</t>
  </si>
  <si>
    <t>Note 1 - High Humidity Locations. (a)  General. Provide a dedicated mechanical cooling unit, complete chilled water or direct-expansion (DX) coil and minimum MERV 7 filters. Provide minimum outdoor air per ASHRAE Standard 15 (latest edition) and capability to operate at 100% outdoor air during emergency refrigerant evacuation mode. Provide a variable speed drive to facilitate system operation in the normal and emergency modes. (b)   Capacity - Mechanical Cooling Unit. Base the capacity on the maximum of: Internal heat gain (note that the heat dissipated by open chillers is much higher than hermetic chillers) Exhaust air volume required to dilute the refrigerant spill - see ASHRAE Standard 15 - 2016 or latest approved version.</t>
  </si>
  <si>
    <t>Note 2 - All Other Locations. Provide a refrigerant leak detection system complete with field-installed refrigerant detection sensors, wiring and local control panel per ASHRAE Standard 15 - 2016 or latest approved edition.
Provide an open protocol BACnet interface with the building ECC system. Provide local alarms per ASHRAE Standard 15 - 2016 or latest approved edition requirements. Provide remote alarms at  the ECC.</t>
  </si>
  <si>
    <t>Note 3 - Emergency Refrigerant Leak Evacuation System. Provide a refrigerant leak detection system complete with field-installed refrigerant detection sensors, wiring and local control panel per ASHRAE Standard 15 - 2016 or latest approved edition. Provide an open protocol BACnet interface with the building ECC system. Provide local alarm requirements per ASHRAE Standard 15 -2016 or latest approved edition. Provide remote alarms at the ECC.</t>
  </si>
  <si>
    <t>Note 4 - Emergency Exhaust System. Upon activation by the leak detection system, the room air shall be exhausted outdoors by an emergency exhaust system and supply air system shall operate in 100% outdoor air mode. Provide exhaust air inlets in accordance with the recommendations of ASHRAE Standard 15 - 2016 or latest approved edition and chiller manufacturer. Activation of the leak detection system shall also trigger local and remote alarms. Provide emergency power for the emergency exhaust and supply fans and associated controls.</t>
  </si>
  <si>
    <t>SC715</t>
  </si>
  <si>
    <t>BLR&amp;D Research Informatics Room, R&amp;D</t>
  </si>
  <si>
    <t>Note 1 - Ventilation. Total ACH based on cooling load and HVAC equipment capacity, outside air per ASHRAE 62.1 -2016 or latest approved edition and provide as indicated in the air handling unit data sheet.</t>
  </si>
  <si>
    <t>SC716</t>
  </si>
  <si>
    <t>BLR&amp;D General Storage Room, R&amp;D</t>
  </si>
  <si>
    <t>Note 1 - HVAC Treatment. (a)  For a small, 100 sf [9 m2] and smaller, unoccupied room, individual room temperature control is not required. Room can be supplied from any adjoining constant- volume air terminal unit serving similar interior or perimeter space. Ducted return air pick-up is also not required, as the room air can ex-filtrate into adjoining   spaces, such as, a non-exit corridor (NFPA 90A). (b)   Individual room temperature control is required for a large, more than 100 sf [9 m2], occupied room. Provide a minimum of 2 ACH outdoor air.</t>
  </si>
  <si>
    <t>Note 2 Sterile Storage  See requirement for SRS05.  Sterile Durables Storage in the Sterile Processing Service Room Data Sheets (RDS).</t>
  </si>
  <si>
    <t>SC717</t>
  </si>
  <si>
    <t>BLR&amp;D Equipment Room, R&amp;D</t>
  </si>
  <si>
    <t>Note 1 - Room Supply. Air Provide a ducted, supply air takeoff from an adjoining air terminal unit.</t>
  </si>
  <si>
    <t>SC718</t>
  </si>
  <si>
    <t>BLR&amp;D Service Core, R&amp;D</t>
  </si>
  <si>
    <t>SC719</t>
  </si>
  <si>
    <t>BLR&amp;D Darkroom, R&amp;D</t>
  </si>
  <si>
    <t>Note 1 - Exhaust Duct. Provide acid-resistant exhaust duct if chemicals are used for film processing.</t>
  </si>
  <si>
    <t>Note 2 - Plumbing. Evaluate the use of silver recovery plumbing, if required.</t>
  </si>
  <si>
    <t>SC721</t>
  </si>
  <si>
    <t>BLR&amp;D Tissue Culture Room, R&amp;D</t>
  </si>
  <si>
    <t>SC722</t>
  </si>
  <si>
    <t>BLR&amp;D Isotope Room, R&amp;D</t>
  </si>
  <si>
    <t>Note 1 - Fume Hood Exhaust. Provide a dedicated exhaust system for the fume hood.</t>
  </si>
  <si>
    <t>SC723</t>
  </si>
  <si>
    <t>BLR&amp;D Isotope Work and Storage Room, R&amp;D</t>
  </si>
  <si>
    <t>Note 2 - Provide HEPA filtered exhaust if required by Safety Officer</t>
  </si>
  <si>
    <t>SC724</t>
  </si>
  <si>
    <t>BLR&amp;D Flow Cytometry, R&amp;D</t>
  </si>
  <si>
    <t>SC725</t>
  </si>
  <si>
    <t>BLR&amp;D Fume Hood Room, R&amp;D</t>
  </si>
  <si>
    <t>SS101</t>
  </si>
  <si>
    <t>BLR&amp;D Conference / Multipurpose Room, Educ Svc</t>
  </si>
  <si>
    <t>SS204</t>
  </si>
  <si>
    <t>BLR&amp;D PI Office, Stff Sprt</t>
  </si>
  <si>
    <t>Note 1 - Room Temperature Control. See Chapter 2 for individual room temperature control requirements.</t>
  </si>
  <si>
    <t>SS211</t>
  </si>
  <si>
    <t>BLR&amp;D Touch-Down Office, Stff Sprt</t>
  </si>
  <si>
    <t>SS212</t>
  </si>
  <si>
    <t>BLR&amp;D Collaboration Station, Stff Sprt</t>
  </si>
  <si>
    <t>SS218</t>
  </si>
  <si>
    <t>BLR&amp;D Research Associate Workstation, Stff Sprt</t>
  </si>
  <si>
    <t>SS224</t>
  </si>
  <si>
    <t>BLR&amp;D Private Call Room, Stff Sprt</t>
  </si>
  <si>
    <t>SS232</t>
  </si>
  <si>
    <t>BLR&amp;D Female Staff Locker Room, Bldg Sprt</t>
  </si>
  <si>
    <t>SS241</t>
  </si>
  <si>
    <t>BLR&amp;D Male Staff Locker Room, Bldg Sprt</t>
  </si>
  <si>
    <t>SS262</t>
  </si>
  <si>
    <t xml:space="preserve">BLR&amp;D Staff Breakroom, Stff Sprt
</t>
  </si>
  <si>
    <t>Note 1 - Room Air. Return air is permitted if the lounge is not equipped with vending machines, microwave, refrigerator, etc., otherwise follow requirements in ASHRAE Standard 62.1 - 2016 or latest approved edition.</t>
  </si>
  <si>
    <t>SS268</t>
  </si>
  <si>
    <t>BLR&amp;D Copy / Supply Alcove, Stff Sprt</t>
  </si>
  <si>
    <t>(0)</t>
  </si>
  <si>
    <t>SS285</t>
  </si>
  <si>
    <t>BLR&amp;D Huddle Room, Stff Sprt</t>
  </si>
  <si>
    <t>CARDIOVASCULAR LABORATORY SERVICE Procedure Rooms</t>
  </si>
  <si>
    <t>OPEC1</t>
  </si>
  <si>
    <t>EKG Testing Room</t>
  </si>
  <si>
    <t>( o )</t>
  </si>
  <si>
    <t>Note 1 - General. The space types listed in this manual reflect the terminology and functions used in the Department of Veterans Affairs, Cardiovascular laboratory Service  Design Guide dated November 29, 2011.</t>
  </si>
  <si>
    <t>Note 2 - Air Handling Unit. If the size and / or arrangement of a specific cardiovascular laboratory service warrants it, a separate air handling unit may be provided for this function, in general, however, any air handling unit meeting the minimum requirements of the Cardiovascular Laboratory AHU sheet and space requirements in the room data sheets (RDS) may be used.</t>
  </si>
  <si>
    <t>OPHM1</t>
  </si>
  <si>
    <t>Holter Monitoring Room</t>
  </si>
  <si>
    <t>OPPE1</t>
  </si>
  <si>
    <t>Echocardiograph Room</t>
  </si>
  <si>
    <t>OPPE2</t>
  </si>
  <si>
    <t>Stress Echocardiograph Room</t>
  </si>
  <si>
    <t>OPTM1</t>
  </si>
  <si>
    <t>Stress Testing Treadmill Room</t>
  </si>
  <si>
    <t>OPTM2</t>
  </si>
  <si>
    <t>Tilt Table Testing Room</t>
  </si>
  <si>
    <t>Event / Holter Monitor Work Room</t>
  </si>
  <si>
    <t>EXRC1</t>
  </si>
  <si>
    <t>Cardiology Exam Room</t>
  </si>
  <si>
    <t>EXRC2</t>
  </si>
  <si>
    <t>Pacemaker ICD Interrogation Room</t>
  </si>
  <si>
    <t>OFDC2</t>
  </si>
  <si>
    <t>Consult Room</t>
  </si>
  <si>
    <t>XVC01</t>
  </si>
  <si>
    <t>ECHO Reading Room</t>
  </si>
  <si>
    <t>EKG Reading Station</t>
  </si>
  <si>
    <t>Clinical Services Research &amp; Development (CSR&amp;D)</t>
  </si>
  <si>
    <t xml:space="preserve">
CSR&amp;D Female Staff Toilet, Bldg Sprt</t>
  </si>
  <si>
    <t xml:space="preserve">
CSR&amp;D Male Staff Toilet, Bldg Sprt</t>
  </si>
  <si>
    <t>CSR&amp;D Housekeeping Aides Closet (HAC), Bldg Sprt</t>
  </si>
  <si>
    <t>CSR&amp;D Mailroom, Lgstcs Svc</t>
  </si>
  <si>
    <t>CSR&amp;D Conference / Mutlipurpose Storage Room, Lgstcs Svc</t>
  </si>
  <si>
    <t>Note 1 - General. This is a small closet and does not require HVAC.</t>
  </si>
  <si>
    <t>CSR&amp;D Research Informatics Room, R&amp;D</t>
  </si>
  <si>
    <t>SC727</t>
  </si>
  <si>
    <t>CSR&amp;D Patient Interview Room, R&amp;D</t>
  </si>
  <si>
    <t>SC728</t>
  </si>
  <si>
    <t>CSR&amp;D Exam Room, R&amp;D</t>
  </si>
  <si>
    <t>Note 1 - Temperature Control. If a single exam room is provided it shall have local temperature control.  If more than one exam room see applicable sections of Chapter 2.</t>
  </si>
  <si>
    <t>SC729</t>
  </si>
  <si>
    <t>CSR&amp;D Workroom, R&amp;D</t>
  </si>
  <si>
    <t>SC812</t>
  </si>
  <si>
    <t xml:space="preserve"> CSR&amp;D Records Storage Room, R&amp;D</t>
  </si>
  <si>
    <t>CSR&amp;D Conference / Mutlipurpose Room, Educ Svc</t>
  </si>
  <si>
    <t>CSR&amp;D PI Office, Stff Sprt</t>
  </si>
  <si>
    <t xml:space="preserve">
CSR&amp;D Touch-Down Office, Stff Sprt</t>
  </si>
  <si>
    <t xml:space="preserve">
CSR&amp;D Collaboration Station, Stff Sprt</t>
  </si>
  <si>
    <t>SS216</t>
  </si>
  <si>
    <t>CSR&amp;D Trainee Workstation, Stff Sprt</t>
  </si>
  <si>
    <t xml:space="preserve"> 
CSR&amp;D Researcher Workstation, Stff Sprt</t>
  </si>
  <si>
    <t>SS221</t>
  </si>
  <si>
    <t>CSR&amp;D Reception, Stff Sprt</t>
  </si>
  <si>
    <t>SS222</t>
  </si>
  <si>
    <t>CSR&amp;D Waiting, Stff Sprt</t>
  </si>
  <si>
    <t>CSR&amp;D Private Call Room, Stff Sprt</t>
  </si>
  <si>
    <t>SS229</t>
  </si>
  <si>
    <t>CSR&amp;D Coat Closet, Stff Sprt</t>
  </si>
  <si>
    <t>CSR&amp;D Female Staff Locker Room, Bldg Sprt</t>
  </si>
  <si>
    <t>CSR&amp;D Male Staff Locker Room, Bldg Sprt</t>
  </si>
  <si>
    <t xml:space="preserve">
CSR&amp;D Staff Breakroom, Stff Sprt
</t>
  </si>
  <si>
    <t>CSR&amp;D Copy / Supply Alcove, Stff Sprt</t>
  </si>
  <si>
    <t>CSR&amp;D Huddle Room, Stff Sprt</t>
  </si>
  <si>
    <t>SV692</t>
  </si>
  <si>
    <t>CSR&amp;D Vending Alcove, VC Svc</t>
  </si>
  <si>
    <t xml:space="preserve">HOME </t>
  </si>
  <si>
    <t>XXXX</t>
  </si>
  <si>
    <t>Home Entry/Front Porch</t>
  </si>
  <si>
    <t>Note 1 - General. Provide HVAC in the porch if enclosed.</t>
  </si>
  <si>
    <t>CLHFY</t>
  </si>
  <si>
    <t>Foyer</t>
  </si>
  <si>
    <t>Note 1 - General. Since Foyer is part of a bedroom, individual room temperature control is not required.</t>
  </si>
  <si>
    <t>CLHOF</t>
  </si>
  <si>
    <t>Home Office</t>
  </si>
  <si>
    <t>CLHLR</t>
  </si>
  <si>
    <t>Living Room</t>
  </si>
  <si>
    <t>Note 1 - Unoccupied Mode. Provide a project-specific unoccupied control sequence to reduce or stop the HVAC during unoccupied hours.</t>
  </si>
  <si>
    <t>CLHDR</t>
  </si>
  <si>
    <t>Dining Room</t>
  </si>
  <si>
    <t>Note 1 - Ventilation. Evaluate minimum outside air for ventilation based on ASHRAE 62.1-2016 or latest approved edition for food and beverage service establishments and if it exceeds 2 ACH use that value.</t>
  </si>
  <si>
    <t xml:space="preserve">Note 2 - Unoccupied Mode. Provide a project-specific unoccupied control sequence to reduce or stop the HVAC during unoccupied hours.      </t>
  </si>
  <si>
    <t>IPK01</t>
  </si>
  <si>
    <t>Kitchen and Servery</t>
  </si>
  <si>
    <t>Exhaust G &amp; S</t>
  </si>
  <si>
    <t>Note 1 - General. Space includes a pantry not requiring HVAC.</t>
  </si>
  <si>
    <t>Note 2 - Outside Air Requirements. If this space is served by a dedicated air handling unit return air may be used.  If the space is served by an air handling unit used for other occupied spaces then all air delivered to the kitchen shall be exhausted and no return shall be allowed.  Adjust the minimum outside air for the air handling unit such that the entire system is at least 15% positive, while maintaining the kitchen negative to its surroundings.</t>
  </si>
  <si>
    <t xml:space="preserve">Note 3: - Kitchen Exhaust For Kitchens With Dedicated Air Handling Units. An NFPA 96 dedicated exhaust system shall serve hoods over cooking equipment.  When the kitchen hood systems are off the exhaust system shall exhaust at least 2 air changes per hour and shall maintain the kitchen negative relative to its surroundings. </t>
  </si>
  <si>
    <t>Note 4: - Kitchen Exhaust For Kitchens Without Dedicated Air Handling Units. An NFPA 96 dedicated exhaust system shall serve hoods over cooking equipment.  Supplemental exhaust shall ensure the kitchen space is maintained negative to its surrounding during all occupied times regardless of whether or not the kitchen hoods are operating.</t>
  </si>
  <si>
    <t>SRS01</t>
  </si>
  <si>
    <t>Pantry</t>
  </si>
  <si>
    <t>CLHKH</t>
  </si>
  <si>
    <t>Kitchen Housekeeping Closet</t>
  </si>
  <si>
    <t>( - - )</t>
  </si>
  <si>
    <t>JANC1</t>
  </si>
  <si>
    <t>Housekeeping Aides Closet</t>
  </si>
  <si>
    <t>CLHDN</t>
  </si>
  <si>
    <t>Den</t>
  </si>
  <si>
    <t>CLHBD</t>
  </si>
  <si>
    <t>Resident Bedroom</t>
  </si>
  <si>
    <t>CLHBR</t>
  </si>
  <si>
    <t>Resident Bathroom</t>
  </si>
  <si>
    <t>Exhaust G</t>
  </si>
  <si>
    <t>Note 1 - Bathroom Ventilation. Bathroom total air change per hour (ACH) is achieved through exhaust only, with makeup air coming from the patient room supply system.</t>
  </si>
  <si>
    <t>Note 2: - Bathroom Temperature Control. Bathrooms subject to heat loss shall be heated through a thermostatically controlled terminal unit.</t>
  </si>
  <si>
    <t>CLHBS</t>
  </si>
  <si>
    <t>Bathing Suite</t>
  </si>
  <si>
    <t>Exhaust S</t>
  </si>
  <si>
    <t>Note 1 - Bathing Suite Supply and Exhaust. Maintain minimum of 10 ACH or minimum required to maintain temperature.  All exhaust shall be through a dedicated wet exhaust system designed with due consideration to removal of moisture laden air.  Exhaust quantity shall maintain the bathing suite negative to its exterior.</t>
  </si>
  <si>
    <t>TNPG1</t>
  </si>
  <si>
    <t>Note 1 - Bathroom Ventilation.  Bathroom total air change per hour (ACH) is achieved through exhaust only, with makeup air coming from the bathing suite supply system.  The bathroom shall be maintained negative to the bathing suite.  Use the same wet exhaust system used to serve the bathing suite.</t>
  </si>
  <si>
    <t>CLHD</t>
  </si>
  <si>
    <t>Laundry</t>
  </si>
  <si>
    <t>Note 1 - Dryer Vent. Coordinate dryer vent exhaust with actual equipment used.</t>
  </si>
  <si>
    <t>Note 2: - General Exhaust and Room Air Balance.  Provide constant volume supply and constant volume general exhaust to maintain minimum 10 ACH and negative space conditions when the dryers are off.</t>
  </si>
  <si>
    <t>SPSU1</t>
  </si>
  <si>
    <t>Soiled Utility Room</t>
  </si>
  <si>
    <t>(--)</t>
  </si>
  <si>
    <t>Note 1: - General Exhaust and Room Air Balance. Provide constant volume exhaust only to maintain a minimum of 10 ACH.  Depending on the size of the room it may be necessary to provide a transfer air duct to keep the pressure on the door from being excessive (in excess of 0.08 inches WC. [20 Pascal]).</t>
  </si>
  <si>
    <t>CLHS1</t>
  </si>
  <si>
    <t>Clean Linen Storage</t>
  </si>
  <si>
    <t>( + )</t>
  </si>
  <si>
    <t>Note 1 - Storage Type. Two different configurations of the clean linen closet are described.</t>
  </si>
  <si>
    <t>Note 2 - Small Closet. For small, unoccupied closet (60 sf to 80 sf [6 m2 to 7 m2] size) supply conditioned air under positive air pressure but do not provide room temperature control and ducted return air. Allow air to ex-filtrate to the adjoining space to maintain positive air balance.</t>
  </si>
  <si>
    <t>Note 3 - Large Storage Closet. For large occupied storage closet (greater than 80 sf [7 m2]) provide a dedicated air terminal unit with room temperature control and ducted return air. Balance supply and return air flows to maintain positive air balance.</t>
  </si>
  <si>
    <t>Toilet - Resident / Visitor</t>
  </si>
  <si>
    <t>Note 1 - Bathroom Ventilation. Bathroom total air change per hour (ACH) is achieved through exhaust only, with makeup air coming from the corridors.</t>
  </si>
  <si>
    <t>CLCHC</t>
  </si>
  <si>
    <t>Hair Care (Barber/Beauty Salon)</t>
  </si>
  <si>
    <t>Note 1 - Ventilation and Exhaust.  Evaluate ventilation per ASHRAE Standard 62.1-2016 (or latest approved edition) and use that value if it exceeds 2 ACH.</t>
  </si>
  <si>
    <t>CLHS2</t>
  </si>
  <si>
    <t xml:space="preserve">Home Storage
</t>
  </si>
  <si>
    <t>CLHGR</t>
  </si>
  <si>
    <t>Garage</t>
  </si>
  <si>
    <t>Note 1 - General. Provide a thermostatically-controlled heater for colder climates (40 F [5 C] and below) when the Garage is equipped with fire protection or water piping.</t>
  </si>
  <si>
    <t>Corridor</t>
  </si>
  <si>
    <t>Note - 1 General. The HVAC data is applicable to all corridors (circulation spaces) in the CLC/DOM.</t>
  </si>
  <si>
    <t>Note - 2 Supply Air Volume. Adjust supply air volume as required to meet the transfer air demand of the adjoining spaces, such as, toilets, HACs and/or soiled utility rooms requiring negative air balance and exterior doors requiring ex-filtration.</t>
  </si>
  <si>
    <t xml:space="preserve">COMMUNITY CENTER </t>
  </si>
  <si>
    <t>LOB02</t>
  </si>
  <si>
    <t>Vestibule</t>
  </si>
  <si>
    <t>Note 1 - Heating. Provide a thermostatically-controlled terminal heater. Coordinate heater type and location with the architectural discipline. Floor-mounted cabinet unit heaters with bottom horizontal supply and top return have proven effective in counter-acting cold air settling at the floor level.  Heating for vestibules and for air curtains with integral heating shall include automatic controls capable of and configured to shut off the heating system when outdoor air temperatures are above 45°F.</t>
  </si>
  <si>
    <t>Note 2 - Space Pressurization. Supply 1.0 cfm/sf [5.1 L/s/m2] air under positive pressure from an adjoining air terminal unit serving the lobby to maintain positive air pressure by allowing air to ex-filtrate outdoors.</t>
  </si>
  <si>
    <t>Note 3 - Vestibule heating and cooling systems controls shall be capable of and configured to limit heating to a maximum of 60°F and cooling to a minimum of 85°F.</t>
  </si>
  <si>
    <t>CLCCS</t>
  </si>
  <si>
    <t>Concierge Station</t>
  </si>
  <si>
    <t>CLCBB</t>
  </si>
  <si>
    <t>Bistro</t>
  </si>
  <si>
    <t>CLCGR</t>
  </si>
  <si>
    <t>Great Room</t>
  </si>
  <si>
    <t>Note 1 - Energy Conservation Initiative. Provide a carbon-dioxide (CO2) and/or occupancy sensor to conserve energy during light occupancy. The control sequence shall be project-specific.  Follow ASHRAE 62.1 - 2016 or latest approved edition requirements.</t>
  </si>
  <si>
    <t>CLNMR</t>
  </si>
  <si>
    <t>Multipurpose Room</t>
  </si>
  <si>
    <t>Note 1 - Folding Partitions. Where the room is equipped with folding partitions, provide individual room temperature control for either side of the partition.  Design the supply and return grill layout to operate at acceptable ADPI values with the partition open and with the partition closed. Include return grill on both sides of the partition.</t>
  </si>
  <si>
    <t>Note 2 - Energy Conservation Initiative. Provide a carbon-dioxide (CO2) and/or occupancy sensor to conserve energy during light occupancy. The control sequence shall be project-specific.  Follow ASHRAE 62.1 - 2016 or latest approved edition requirements.</t>
  </si>
  <si>
    <t>STCL1</t>
  </si>
  <si>
    <t>Multipurpose Storage</t>
  </si>
  <si>
    <t>Note 1 - Temperature Control. Storage rooms subject to heat loss shall be heated through a thermostatically controlled terminal unit.</t>
  </si>
  <si>
    <t>CLCLB</t>
  </si>
  <si>
    <t>Media Center</t>
  </si>
  <si>
    <t>Note 1 - Equipment Heat Gain. Coordinate equipment heat gain with the equipment manufacturer.</t>
  </si>
  <si>
    <t>Note 1 - Minimum Ventilation. Evaluate minimum outside air for ventilation based on ASHRAE 62.1-2016 or latest approved edition for barber and beauty salon establishments and if it exceeds 2 ACH use that value.</t>
  </si>
  <si>
    <t>Note 2 - Ducted Exhaust. Provide ducted exhaust per ASHRAE Standard 62.1-2016 or latest approved edition.</t>
  </si>
  <si>
    <t>CFR01</t>
  </si>
  <si>
    <t>Conference Room</t>
  </si>
  <si>
    <t>OFA09</t>
  </si>
  <si>
    <t>Administrative Office / Nursing Office / Activities Director's Office /  Maintenance Office / Physician Office</t>
  </si>
  <si>
    <t>Note 1 - Individual Room Temperature Control. See Chapter 2 for individual room temperature control requirements.</t>
  </si>
  <si>
    <t>SACP1</t>
  </si>
  <si>
    <t>Copy Room</t>
  </si>
  <si>
    <t>Note 1 - Room Temperature Control. Copy Room may not require individual room temperature control if open to an adjoining space during the occupied mode. Room air from the adjoining space can be returned over the copy equipment to reduce heat concentration.</t>
  </si>
  <si>
    <t>Note 2 - Exhaust Requirements. Provide general exhaust as required by ASHRAE Standard 62.1-2016 or latest approved edition.</t>
  </si>
  <si>
    <t>SALG2</t>
  </si>
  <si>
    <t>Staff Lounge and Lockers</t>
  </si>
  <si>
    <t>Staff Toilet</t>
  </si>
  <si>
    <t>Note 1 - Terminal Heater. Provide a thermostatically-controlled, terminal heater for the toilets subject to heat loss.</t>
  </si>
  <si>
    <t>Note 2 - Transfer Air for Exhaust. For Staff Toilets located with the Staff Lounge and Lockers, provide transfer air for exhaust from the Staff Lounge and Lockers.</t>
  </si>
  <si>
    <t>STCL1 / STC2 / CLCS3</t>
  </si>
  <si>
    <t>Storage:  Multi-Purpose Room / General / Maintenance</t>
  </si>
  <si>
    <t>Note 1 - Terminal Heater. Provide a thermostatically-controlled, terminal heater for a storage room subject to heat loss and possibility of fire protection and/or water pipe freezing.</t>
  </si>
  <si>
    <t>SPHC1</t>
  </si>
  <si>
    <t>HAC</t>
  </si>
  <si>
    <t>Note 1 - Terminal Heater. Provide a thermostatically-controlled, terminal heater for a HAC room subject to heat loss and possibility of fire protection and/or water pipe freezing.</t>
  </si>
  <si>
    <t>XXYYC</t>
  </si>
  <si>
    <t>Satellite Telephone/Communications Closet</t>
  </si>
  <si>
    <t xml:space="preserve">Note 1 - General. The Satellite Telephone/Communication Closet (also known as Room) shall be served by a dedicated, cooling unit in operation on-demand and uninterrupted. </t>
  </si>
  <si>
    <t>Note 1 - Ventilation (100% Outdoor Air) Provide a ventilation system complete with fan(s), exhaust and/or supply, and air inlet and outlet connections equipped with motorized dampers. Size and select the system to move air at the rate of 1.5 cfm/sf [7.6 L/s/m2].</t>
  </si>
  <si>
    <t>Note 2 - Heating.  Provide thermostatically-controlled heat delivered either by the supply air system or individual air terminal units. During heating mode, reduce the outdoor air to minimum as mandated by ASHRAE Standard 62.1-2016 or latest approved edition and other applicable documents.</t>
  </si>
  <si>
    <t>Note 3 - Compliance and Reference.  The HVAC system shall be in compliance with the American Council of Government Industrial Hygienists (ACCIH) and NFPA 88B. Refer to the ASHRAE Handbook of Applications for further information.</t>
  </si>
  <si>
    <t>CLCCH</t>
  </si>
  <si>
    <t>Chapel/Meditation/Quiet Room</t>
  </si>
  <si>
    <t>Note 1 - Energy Conservation Initiative. Provide a carbon-dioxide (CO2) and/or occupancy sensor to conserve energy during light occupancy. The control sequence shall be project-specific. Follow ASHRAE 62.1 - 2016 or latest approved edition requirements.</t>
  </si>
  <si>
    <t>XXXXX</t>
  </si>
  <si>
    <t>Physicians Office</t>
  </si>
  <si>
    <t>CLCEX3</t>
  </si>
  <si>
    <t>Exam Room</t>
  </si>
  <si>
    <t>MEDP1</t>
  </si>
  <si>
    <t>Pharmacy</t>
  </si>
  <si>
    <t>CLCOF</t>
  </si>
  <si>
    <t>Security Office</t>
  </si>
  <si>
    <t>CLCRC</t>
  </si>
  <si>
    <t>Receiving and Loading</t>
  </si>
  <si>
    <t>Note 1:  Air Curtain. Provide an air curtain with a heating element.  Interlock the air curtain start sequence with the loading door dock operating mechanism. Activate heating when the ambient temperature falls below 45 F (7 C).</t>
  </si>
  <si>
    <t>CENTRAL LAUNDRY FACILITY</t>
  </si>
  <si>
    <t>Note 1 -  General:  At the time this manual was published a VA central laundry design guide was not available in the VA TIL, therefore, the nomenclature of the spaces may not match future laundry design guides.  To compensate for that the space names are descriptive by function.  The actual room layouts, equipment disposition, and the HVAC parameters may vary with the project scope of work.</t>
  </si>
  <si>
    <t>Soiled Receiving and Sorting Ante Room</t>
  </si>
  <si>
    <t>None</t>
  </si>
  <si>
    <t>Note 1 – Soiled Receiving and Sorting Ante Room: If provided, this is an air lock space between the corridor outside the laundry and the soiled receiving space.  The space shall have double doors to the corridor and double doors to the soiled receiving area.  The leakage on these doors shall be analyzed to determine the amount of air required for pressurization.  No return or exhaust shall be provided and temperature control shall be from the soiled receiving and sorting room.</t>
  </si>
  <si>
    <t>Soiled Receiving and Sorting Room</t>
  </si>
  <si>
    <t>Note 1 – Soiled Receiving and Sorting Room
This contaminated room is separated from the clean side by the washer / extractors and typically has a high ceiling mounted track system for trolley cars that are used to move the bags of laundry.  Therefore the air supply ductwork and grills are mounted high above the tracks.  The air distribution should be directional with supply slots or high wall grills blowing down at the far end away from the loading doors of the washer extractors towards the door and exhaust grills in a line directly above the washer / extractor doors.</t>
  </si>
  <si>
    <t>Clean Laundry Work Room</t>
  </si>
  <si>
    <t>Note 3 and 4</t>
  </si>
  <si>
    <t>Note 1 – Clean Laundry Work Room. This uncontaminated space is separated from the soiled receiving and sorting room by the washer extractors and the washer extractor unload doors open into this space.  The dryers, ironers, clean linen bins and other equipment are located in this space.</t>
  </si>
  <si>
    <t>Note 2 – Air Distribution.  This space also contains high ceiling mounted track system for trolley cars that are used to move the bags of laundry so that air distribution must be above and out of the way requiring high velocity side grills / drum louvers for proper air motion in the space.</t>
  </si>
  <si>
    <t>Note 3 – Return and Local Exhaust. Provide local exhaust system above the unloading doors for the washer extractors to remove hot humid air when unloading the machines.  Exhaust quantity shall not exceed minimum required ventilation (outdoor) air.  Note the space is positive .</t>
  </si>
  <si>
    <t>Note 4 – Special Exhaust. Provide direct ducted exhaust from dryers and ironers.  See air handling unit data sheet for energy recovery opportunities.</t>
  </si>
  <si>
    <t>Clean Laundry Storage Room</t>
  </si>
  <si>
    <t xml:space="preserve">Return </t>
  </si>
  <si>
    <t>Note 1 – Clean Laundry Storage Room. This uncontaminated space may be separate from the clean laundry work room or may be a designated storage area within the clean laundry work room.  If it is not separate then temperature control shall be concurrent with the controls for the Clean Landry Work Room.</t>
  </si>
  <si>
    <t>Offices</t>
  </si>
  <si>
    <t>Note 1 – Space Temperature Control. Provide VAV terminal and reheat.</t>
  </si>
  <si>
    <t>Break Room / Staff Lounge</t>
  </si>
  <si>
    <t xml:space="preserve">Note 1 - Room Air. Return air is permitted if the lounge space is not equipped with cooking equipment (microwave, hot plate, toasters). </t>
  </si>
  <si>
    <t>DENTAL CLINIC Dental Suite</t>
  </si>
  <si>
    <t>DNXS1</t>
  </si>
  <si>
    <t>X- Ray Panoramic / Cephalometric</t>
  </si>
  <si>
    <t>Note 1 - General. Coordinate equipment heat gain with the manufacturer and evaluate resultant conditions.  Remove heat by practical, available means.  Adjust required temperature and humidity to match manufacturer's requirements.</t>
  </si>
  <si>
    <t>DNXC1</t>
  </si>
  <si>
    <t>Cone Beam Computerized Tomography</t>
  </si>
  <si>
    <t>DNXC2</t>
  </si>
  <si>
    <t>Cone Beam Computerized Tomography Control Room</t>
  </si>
  <si>
    <t>DNTG1</t>
  </si>
  <si>
    <t>Multi-functional Dental Treatment Room</t>
  </si>
  <si>
    <t>DNTG5</t>
  </si>
  <si>
    <t>Special Needs Patient Dental Treatment Room</t>
  </si>
  <si>
    <t>DNTS1</t>
  </si>
  <si>
    <t>Minor Procedure Room Oral Surgery</t>
  </si>
  <si>
    <t>Note 1 - Space Classification. The design criteria are based on the assumption that the Oral Surgery Room is classified as Class A Surgery/Procedure Room (ASHRAE Standard 170 - 2016 or latest approved edition). The designer shall verify the requirements with the end-users and modify the classification, if necessary.</t>
  </si>
  <si>
    <t>Note 2 - Nitrous Oxide Gas. Where nitrous oxide gas is used, the design shall implement the recommendation of National Institute for Occupational Safety and Health (NIOSH) to limit the occupational exposure within the prescribed limits by installing a local scavenging system. Compliance is also required to NFPA 99 for other safety requirements.</t>
  </si>
  <si>
    <t>DNSC3</t>
  </si>
  <si>
    <t>Sterile Instrument Storage</t>
  </si>
  <si>
    <t>MECH1</t>
  </si>
  <si>
    <t>Dental Equipment Mechanical Room</t>
  </si>
  <si>
    <t>N/A</t>
  </si>
  <si>
    <t>VAV/CV</t>
  </si>
  <si>
    <t>Note 1 - General. Coordinate equipment heat gain with the manufacturer and evaluate resultant conditions.  Remove heat by practical, available means.</t>
  </si>
  <si>
    <t>DNPL1</t>
  </si>
  <si>
    <t>General Purpose Laboratory</t>
  </si>
  <si>
    <t xml:space="preserve">Exhaust (G) </t>
  </si>
  <si>
    <t>Note 1 - Exhaust from Prosthetic Dental Workstation. Provide exhaust from the prosthetic dental workstation either by wall registers, installed at the table height, or by a canopy hood. Exhaust can be connected to the general exhaust system. Estimate the exhaust air volume based on the geometry of the work area.</t>
  </si>
  <si>
    <t>Note 2 - Heat Gain. Coordinate equipment heat gain with the manufacturer.</t>
  </si>
  <si>
    <t>Note 3 - Boil-Out Sink and Casing Soldering Areas. Provide exhaust over the boil-out sink and case-soldering area using a canopy hood, connected to a general exhaust system, and sized at 100 fpm [0.5 m/s] face velocity. Coordinate the hood size and location with the architectural drawings.</t>
  </si>
  <si>
    <t>DNPC1</t>
  </si>
  <si>
    <t>Laboratory Porcelain / Ceramics</t>
  </si>
  <si>
    <t>Note 1:  Heat Gain. Coordinate equipment heat gain with the manufacturer.</t>
  </si>
  <si>
    <t>Note 2 - Exhaust Air Intakes. Locate exhaust registers and / or exhaust hoods at or near the technician's workbench.  Coordinate with architectural and electrical drawings.</t>
  </si>
  <si>
    <t>DNTR1</t>
  </si>
  <si>
    <t>Patient Prep / Recovery Room</t>
  </si>
  <si>
    <t xml:space="preserve">DIALYSIS CENTER </t>
  </si>
  <si>
    <t>Renal Dialysis Private Bed Station</t>
  </si>
  <si>
    <t>RDC02</t>
  </si>
  <si>
    <t>Renal Dialysis Negative Isolation Private Bed Station</t>
  </si>
  <si>
    <t>Note 1 - Negative Isolation Pressure Bed Station.  See additional requirements on Room Data Sheets for Infectious Isolation rooms.</t>
  </si>
  <si>
    <t>RDC01</t>
  </si>
  <si>
    <t>Renal Dialysis Cubicle Chair Station</t>
  </si>
  <si>
    <t>Renal Dialysis Cubicle Bed Station</t>
  </si>
  <si>
    <t>CSDE1</t>
  </si>
  <si>
    <t>Equipment Processing Soiled Receiving</t>
  </si>
  <si>
    <t>CSSS1</t>
  </si>
  <si>
    <t>Equipment Processing Clean Preparation</t>
  </si>
  <si>
    <t>CSIA1</t>
  </si>
  <si>
    <t>Equipment Processing Clean Storage</t>
  </si>
  <si>
    <t xml:space="preserve">DIGESTIVE DISEASES - ENDOSCOPY SERVICE Procedure Room </t>
  </si>
  <si>
    <t>TREE1</t>
  </si>
  <si>
    <t>Endoscopy Procedure</t>
  </si>
  <si>
    <t>Note 1 - General:  The space types listed in this manual reflect the terminology and functions used in the Department of Veterans Affairs, Digestive Diseases - Endoscopy Service Design Guide dated November 29, 2011.  Endoscopy services suites constructed prior to this may also contain procedure rooms lists as proctoscopy, sigmoidoscopy, and colonoscopy, EGD.  In the current practice all these procedures take place in the same space.</t>
  </si>
  <si>
    <t>Note 2 - Air Handling Unit:  If the size and / or arrangement of a specific endoscopy service warrants it, a separate air handling unit may be provided for this 
function, in general, however,  any air handling unit meeting the minimum requirements in the Digestive Diseases AHU sheet and the space requirements on this sheet may be used.  Provide in the design constant volume pressure independent reheat terminals to maintain the required constant volume  air flows regardless  of AHU type and operation.</t>
  </si>
  <si>
    <t>Note 3 - Endoscopy Procedure: Includes, but not limited to all endoscopy, anoscopy, proctoscopy, colonoscopy, sigmoidoscopyEGD, ERCP etc.(a) Neutral room airflow pattern is acceptable if only GI procedures are performed. If there is reasonable likelihood the procedure room will be used for more than one type of procedure (e.g., GI endoscopy and bronchoscopy), the room must meet the most stringent criteria for the types of procedures to be performed in the room.
(b) Existing GI Endoscopy Procedure Rooms can meet original design standards required at the time of build if GI procedures only are performed in the room. If other procedures are performed besides GI procedures (e.g., bronchoscopy), the room must meet the standards/most stringent criteria for the types of procedures performed.</t>
  </si>
  <si>
    <t>Note 4 - Room Air Balance. (a) If the above procedures are performed on a patient suspected of tuberculosis or similar infectious disease, the procedure room must be maintained under negative air balance and the room air should be exhausted outdoors without mixing with any other general exhaust.</t>
  </si>
  <si>
    <t>TREE2</t>
  </si>
  <si>
    <t>Endoscopic Ultrasound Procedure (ERCP)</t>
  </si>
  <si>
    <t>Note 2 - Air Handling Unit:  If the size and / or arrangement of a specific endoscopy service warrants it, a separate air handling unit may be provided for this function, in general, however,  any air handling unit meeting the minimum requirements in the Digestive Diseases AHU sheet and the space requirements on this sheet may be used.  Provide in the design constant volume pressure independent reheat terminals to maintain the required constant volume  air flows regardless  of AHU type and operation.</t>
  </si>
  <si>
    <t>Note 3 - Room Air Balance. (a) If the above procedures are performed on a patient suspected of tuberculosis or similar infectious disease, the procedure room must be maintained under negative air balance and the room air should be exhausted outdoors without mixing with any other general exhaust.</t>
  </si>
  <si>
    <t>USCL2</t>
  </si>
  <si>
    <t>Scope Decontamination Room</t>
  </si>
  <si>
    <t>Note 3 - Scope Decontamination Room:  See SPS for additional requirements of scope decontamination and processing rooms.</t>
  </si>
  <si>
    <t>USCL3</t>
  </si>
  <si>
    <t>Scope Reprocess</t>
  </si>
  <si>
    <t>USCL4</t>
  </si>
  <si>
    <t>Clean Scope Storage</t>
  </si>
  <si>
    <t>RRSS1</t>
  </si>
  <si>
    <t>Prep and Recovery</t>
  </si>
  <si>
    <t xml:space="preserve">DOMICILIARY </t>
  </si>
  <si>
    <t>Note 1 - Temperature Controls. If one room is provided provide it with temperature control.  If more than one room is provided follow Chapter 2 requirements.</t>
  </si>
  <si>
    <t>DAYR1</t>
  </si>
  <si>
    <t>Patient Lounge</t>
  </si>
  <si>
    <t>Note 1 - Folding Partitions. Where the room is equipped with folding partitions, provide individual room temperature control for either side of the partition.  Design the supply and return grill layout to operate at acceptable ADPI values with the partition open and with the partition closed. Provide return grill on both sides of the partition.</t>
  </si>
  <si>
    <t>Note 2 - Energy Conservation Initiative. Provide a carbon-dioxide (CO2) and/or occupancy sensor to conserve energy during light occupancy. The control sequence shall be project-specific.  Comply with the requirements of ASHRAE 62.1 - 2016 or latest approved edition.</t>
  </si>
  <si>
    <t>BRUN1</t>
  </si>
  <si>
    <t>One-Bed Bedroom Addiction Treatment Program / Homeless Program / Health Maintenance Program / PTSD Program / Brain Injury Program</t>
  </si>
  <si>
    <t>Two-Bed Bedroom Addiction Treatment Program / Homeless Program / Health Maintenance Program / PTSD Program</t>
  </si>
  <si>
    <t>TSPB1</t>
  </si>
  <si>
    <t>Toilet / Shower, Bariatric</t>
  </si>
  <si>
    <t>Note 2 - Bathroom Temperature Control.  Bathrooms subject to heat loss shall be heated through a thermostatically controlled terminal unit.</t>
  </si>
  <si>
    <t>Multiple Living Unit 
Sleeping Area</t>
  </si>
  <si>
    <t>TSPG1</t>
  </si>
  <si>
    <t>Multiple Living Unit, 
Toilet / Shower</t>
  </si>
  <si>
    <t>ELECTRONENCEPHALOGRAPHY LABORATORY (EEG)  Procedure Room</t>
  </si>
  <si>
    <t>OPEE1</t>
  </si>
  <si>
    <t>EEG Exam Room</t>
  </si>
  <si>
    <t xml:space="preserve">Note 1 - General The space types listed in this manual reflect the terminology and functions used in the Department of Veterans Affairs, Electroencephalography Laboratory (EEG) Service Design Guide dated November 29, 2011.  </t>
  </si>
  <si>
    <t>Note 2 - Air Handling Unit. If the size and / or arrangement of a specific EEG service warrants it, a separate air handling unit may be provided for this function, in general, however, any air handling unit meeting the minimum requirements in the EEG Laboratory AHU sheet and the space requirements on this sheet may be used.</t>
  </si>
  <si>
    <t>EXRE2</t>
  </si>
  <si>
    <t>EMG Exam Room</t>
  </si>
  <si>
    <t>OPPF8</t>
  </si>
  <si>
    <t>Patient Prep Room</t>
  </si>
  <si>
    <t>EMERGENCY DEPARTMENT</t>
  </si>
  <si>
    <t>Airborne Infection Isolation (AII) Anteroom</t>
  </si>
  <si>
    <t>Note 1 - General:  See Infectious Isolation Room Data Sheets for more information.  Note that dual purpose negative / positive isolation rooms are prohibited.</t>
  </si>
  <si>
    <t>Airborne Infection Isolation (AII) Exam / Treatment Room</t>
  </si>
  <si>
    <t>( -- )</t>
  </si>
  <si>
    <t>Airborne Infection Isolation (AII) Patient Toilet</t>
  </si>
  <si>
    <t>Protective Environment Anteroom</t>
  </si>
  <si>
    <t>Protective Environment (PE) Exam / Treatment Room</t>
  </si>
  <si>
    <t>( ++ )</t>
  </si>
  <si>
    <t>Protective Environment Toilet</t>
  </si>
  <si>
    <t>Resuscitation Room</t>
  </si>
  <si>
    <t>Note 1 - Provide Group E nonaspirating supply diffusers for Trauma rooms. Group E diffusers are defined in the ASHRAE Handbook - Fundamentals.</t>
  </si>
  <si>
    <t>Workroom</t>
  </si>
  <si>
    <t>Exam / Treatment Room</t>
  </si>
  <si>
    <t>Note 1 - See Group Temperature Control in HVAC DM.</t>
  </si>
  <si>
    <t>Note 2 - AII Exam / Treatment rooms are fully exhausted to outside and are negative pressure to provide continuous infection prevention for airborne disease.</t>
  </si>
  <si>
    <t>Note 3 - The ceiling exhaust grille shall be generally located over the head of the patient bed.</t>
  </si>
  <si>
    <t>Note 4 - A space differential pressure monitoring device connected to the building automation system shall be provided next to the room door on the corridor side.</t>
  </si>
  <si>
    <t>Note 5 - Provide two exhaust fans for the Exam / Treatment exhaust system an operate in LEAD/LAG configuration with automatic controls to activate LAG fan upon LEAD fan failure.</t>
  </si>
  <si>
    <t>Bariatric Triage Room / Triage Room</t>
  </si>
  <si>
    <t xml:space="preserve">Yes </t>
  </si>
  <si>
    <t>General Waiting Room</t>
  </si>
  <si>
    <t>Note 1 - Infection Control:  General waiting room shall be 100% exhausted and maintained negative to adjacent spaces.</t>
  </si>
  <si>
    <t>Note 2 - When the waiting room is open to larger, non-waiting spaces, the exhaust air volume shall be calculated based on the seating area of the waiting area.  The intent is not to require the volume calculation to include a very large space (e.g. atrium) just because the waiting area opens up to it.</t>
  </si>
  <si>
    <t>Waiting Areas</t>
  </si>
  <si>
    <t>Note 1 - Infection Control:  AII waiting room shall be 100% exhausted and maintained negative to adjacent spaces.</t>
  </si>
  <si>
    <t>Imaging Patient Dressing Room</t>
  </si>
  <si>
    <t>Private Search Room</t>
  </si>
  <si>
    <t>Reception</t>
  </si>
  <si>
    <t>Quiet / Consult Room</t>
  </si>
  <si>
    <t>Note 1 - See Group Temerature Control in Chapter 2.</t>
  </si>
  <si>
    <t>Security Room</t>
  </si>
  <si>
    <t>Equipment / Secure Evidence Room</t>
  </si>
  <si>
    <t>Medical Supplies Storage Room</t>
  </si>
  <si>
    <t>Sally Port</t>
  </si>
  <si>
    <t>Staff Training / Classroom</t>
  </si>
  <si>
    <t>Office</t>
  </si>
  <si>
    <t>Staff Breakroom</t>
  </si>
  <si>
    <t>Storage / Patient Belongings Room</t>
  </si>
  <si>
    <t>Mental Health Intervention Room</t>
  </si>
  <si>
    <t>Outbound / Inbound Staging / Holding Bay</t>
  </si>
  <si>
    <t>Tele-Health Room</t>
  </si>
  <si>
    <t>Medication Room</t>
  </si>
  <si>
    <t>Copy / Supply Room</t>
  </si>
  <si>
    <t>Clean Utility Room</t>
  </si>
  <si>
    <t>Note 1 - Provide humidity monitoring of this room is required. Verify with hospital.</t>
  </si>
  <si>
    <t>Decontamination Shower</t>
  </si>
  <si>
    <t>Note 1 - Thermostat shall be in adjacent Decontamination Patient Changing Room.</t>
  </si>
  <si>
    <t>Decontamination Patient Changing Room</t>
  </si>
  <si>
    <t>Trash / Recycling Holding</t>
  </si>
  <si>
    <t>Note 1 - Heating - Provide a thermostatically controlled terminal heater.  Coordinate type and location with the architectural discipling.  Floor mounted cabinet heaters with bottom horixontal supply and top return have proved effective in counter-acting cold air settling at floor level.</t>
  </si>
  <si>
    <t>Patient Discharge Room</t>
  </si>
  <si>
    <t>Note 1 - Perimeter Heating - For toilets with an exterior wall subject to heat loss, provide thermostaticallyl-controlled (closed-loop local control) terminal heater(s) to maintain setpoint.</t>
  </si>
  <si>
    <t>Toilet / Shower</t>
  </si>
  <si>
    <t>Workstation / Work Area</t>
  </si>
  <si>
    <t>Patient Toilet / Visitor Toilet / Mental Health Toilet</t>
  </si>
  <si>
    <t>Staff Locker Room</t>
  </si>
  <si>
    <t>Patient Dressing Room / Patient Changing Room</t>
  </si>
  <si>
    <t>Simulation / Resuscitation Viewing Room</t>
  </si>
  <si>
    <t>Staging Area</t>
  </si>
  <si>
    <t>Supply Room</t>
  </si>
  <si>
    <t>Satellite Sterile Supply Room</t>
  </si>
  <si>
    <t>Patient Belongings Room</t>
  </si>
  <si>
    <t>On-Call Bedroom / On-Call Room</t>
  </si>
  <si>
    <t>Class 2 Radiology Imaging Room</t>
  </si>
  <si>
    <t>Radioloty System Component Room</t>
  </si>
  <si>
    <t>Ultrasound Scanning Room</t>
  </si>
  <si>
    <t>Note 1 - This is a Class 1 imaging room.</t>
  </si>
  <si>
    <t>Class 2 CT Scanning Room</t>
  </si>
  <si>
    <t>CT Control Room</t>
  </si>
  <si>
    <t>CT System Component Room</t>
  </si>
  <si>
    <t>Ambulance Garage</t>
  </si>
  <si>
    <t>Note 1 - HVAC design is highly dependent on location and site.  See Emergency Department Design Guide and HVAC Design Manual for more information.</t>
  </si>
  <si>
    <t xml:space="preserve">EYE CLINIC </t>
  </si>
  <si>
    <t>EYOT2</t>
  </si>
  <si>
    <t>Exam / Treatment Room, Optometry</t>
  </si>
  <si>
    <t>Note 1  - Temperature Control. If more than one space is provided follow Chapter 2 requirements for temperature control zones.</t>
  </si>
  <si>
    <t>TREY2</t>
  </si>
  <si>
    <t>Laser Room</t>
  </si>
  <si>
    <t>Health Services Research &amp; Development (HSR&amp;D)</t>
  </si>
  <si>
    <t>HSR&amp;D Female Staff Toilet, Bldg Sprt</t>
  </si>
  <si>
    <t>HSR&amp;D Male Staff Toilet, Bldg Sprt</t>
  </si>
  <si>
    <t>HSR&amp;D Housekeeping Aides Closet (HAC), Bldg Sprt</t>
  </si>
  <si>
    <t>HSR&amp;D Mailroom, Lgstcs Svc</t>
  </si>
  <si>
    <t>HSR&amp;D Conference / Multipurpose Storage Room, Lgstcs Svc</t>
  </si>
  <si>
    <t>HSR&amp;D Research Informatics Room, R&amp;D</t>
  </si>
  <si>
    <t>SC813</t>
  </si>
  <si>
    <t>HSR&amp;D Records Storage Room, R&amp;D</t>
  </si>
  <si>
    <t>HSR&amp;D Conference / Multipurpose Room, Educ Svc</t>
  </si>
  <si>
    <t>HSR&amp;D PI Office, Stff Sprt</t>
  </si>
  <si>
    <t>HSR&amp;D Touch-Down Office, Stff Sprt</t>
  </si>
  <si>
    <t>HSR&amp;D Collaboration Station, Stff Sprt</t>
  </si>
  <si>
    <t>HSR&amp;D Trainee Workstation, Stff Sprt</t>
  </si>
  <si>
    <t>HSR&amp;D Researcher Workstation, Stff Sprt</t>
  </si>
  <si>
    <t>HSR&amp;D Reception, Stff Sprt</t>
  </si>
  <si>
    <t>HSR&amp;D Private Call Room, Stff Sprt</t>
  </si>
  <si>
    <t>HSR&amp;D Coat Closet, Stff Sprt</t>
  </si>
  <si>
    <t>HSR&amp;D Female Staff Locker Room, Stff Sprt</t>
  </si>
  <si>
    <t>HSR&amp;D Male Staff Locker Room, Stff Sprt</t>
  </si>
  <si>
    <t xml:space="preserve">HSR&amp;D Staff Breakroom, Stff Sprt
</t>
  </si>
  <si>
    <t>HSR&amp;D Copy / Supply Alcove, Stff Sprt</t>
  </si>
  <si>
    <t>HSR&amp;D Huddle Room, Stff Sprt</t>
  </si>
  <si>
    <t>HSR&amp;D Vending Alcove, VC Svc</t>
  </si>
  <si>
    <t xml:space="preserve">IMAGING SERIES (MRI UNIT) </t>
  </si>
  <si>
    <t>XMRC1</t>
  </si>
  <si>
    <t>MRI Control Room</t>
  </si>
  <si>
    <t>Return Exhaust (G)</t>
  </si>
  <si>
    <t>Note 1- Construction Coordination. Carefully coordinate all technical requirements indicated herein with the specific MRI system being installed.   Also, carefully coordinate contractual requirements of the MRI systems installation with the MRI manufacturer's requirements.  For example in many cases the MRI manufacturer's warranty requires chilled water system startup to be by the manufacturer and in that event the HVAC design documents have to provide a specific piping and instrument manifold that allows chilled water system startup prior to MRI installation.  Review all requirements and coordinate.</t>
  </si>
  <si>
    <t>XMRS1</t>
  </si>
  <si>
    <t>MRI Scanning Room</t>
  </si>
  <si>
    <t>Return Exhaust (S)</t>
  </si>
  <si>
    <t>Note 2- MRI Scanning Room Temperature. MRI scanners' image quality can be degraded by environmental conditions outside of the equipment manufacturer's specifications. MRI Scanning Room temperature shall be maintained between 68 F - 70 F [20 C - 21 C] under both heating and cooling conditions.</t>
  </si>
  <si>
    <t>Note 3 - Emergency Exhaust Fan.   (a)  Provide a special automatic/manual emergency exhaust system to exhaust the scanning room in the event cryogen spills in the room. (b)   Automatic operation of the exhaust system shall be interlocked to the MRI equipment vendor automatic alarm system (if provided) by an electric relay. Provide two manual switches (one located in the scanning room and the other in the control room) under the custody of the designated operating personnel. (c)  Exhaust fan can discharge from the walls or roof if there are no operable windows or outside air intakes, or if regular or scheduled human traffic is not within a 25 ft [7.6 m] radius. Provide a motorized damper in the return air duct to stop return air pick up. (d)   Provide a laser optical oxygen sensor, located 18 in [450 mm] below the suspended architectural ceiling, to sound an audible and visible local alarm and an alarm at the ECC in the event the oxygen level drops. Alternatively, if saturable sensor oxygen monitor systems are used, these shall be located outside the MRI Scanning Room with a sampling tube entering the MRI Scanning Room at 18 in [450 mm] below the suspended architectural ceiling. Coordinate any and all penetrations of the required RF shield assembly with the RF shield vendor. Alarm shall automatically activate the emergency exhaust fan operation sequence.</t>
  </si>
  <si>
    <t>Note 4 - Cryogen (Quench) Vent Pipe. (a)  Provide a vent pipe (size, location, and material to be coordinated with the MRI equipment supplier) from the RF shield to outdoors. (b)   Divide the scope of work such that the MRI vendor is responsible for the supply and installation of the vent pipe, including RF Shield fitting, from the magnet to the RF Shield Barrier. (c)  Helium gas vent can discharge horizontally, through exterior walls, or vertically, though the roof. For both discharge conditions, there shall be no operable windows or outside air intakes, and no regular or scheduled human traffic within 25 ft [7.6 m] radius in all directions. Terminate the vent pipe with a turndown weather head.  Horizontal chamfered terminations are not permitted. Termination shall be protected from horizontal wind driven rain entry. Insulate the quench piping from the MRI connection to termination. Insulation shall be calcium silicate type. (d)   Provide manual quench activation switches if required by the MRI  manufacturer.  Coordinate with specific system used.</t>
  </si>
  <si>
    <t xml:space="preserve">Note 5 - Overpressure Relief. (a) Hatch in RF Shield Enclosure: MRI equipment vendor shall be responsible for the supply, installation, and testing of the pressure relief hatch (gravity-operated). The hatch shall be similar to a back draft damper. Upon sensing a difference in pressure between the occupied space and the void between the suspended ceiling and the RF Shield enclosure, the hatch shall open to permit the cryogen gas to escape into the void between the RF Shield and the floor or roof above. (b) Hatch in the Roof or Wall: Install an "explosion" hatch in the roof or wall, whichever is the closest, to relieve gas under pressure to the outdoors. The explosion hatch is pressure-actuated and can be connected to the quench alarm system. Coordinate the location, size and design or the hatch with the MRI equipment vendor. Provide snow/ice melt systems in hatch cover as indicated by position and local climate.               
</t>
  </si>
  <si>
    <t>Note 6 - Optional MRI Equipment Circulating Fan (Room Air Distribution). (a) At the MRI vendor's option, room air can be circulated through the MRI equipment by a dedicated circulating fan and returned back to the system by an indirect (thimble) connection. Coordinate the division in the scope of work between the MRI vendor and the general contractor. (b) Arrange room air distribution to allow the conditioned air to flow over/through the MRI scanner with return and/or exhaust inlets located at the rear of the equipment back to facilitate MRI equipment cooling.</t>
  </si>
  <si>
    <t>Note 7 - Ductwork and Devices.(a) All active devices (VAVs, fan coil units, dampers, humidifiers, sensors or detectors) shall be located outside the MRI Scanning Room. (b) Ductwork, hangers, fasteners and appurtenances used within the MRI Scanning room plenum should be of non-magnetic materials and construction (e.g. aluminum). (c) MRI manufacturer may recommend supply and return duct penetrations both enter the MRI Scanning Room from the MRI System Component room.  Coordinate locations/routes. (d) All piping and ductwork penetrations of MRI Scanning Room RF shield must be carefully coordinated with MRI manufacturer's and RF shield vendors' sitting requirements.</t>
  </si>
  <si>
    <t>XMRC2</t>
  </si>
  <si>
    <t>MRI Systems Component Room</t>
  </si>
  <si>
    <t>Note 1 - HVAC System. (a)  Provided a dedicated air conditioning unit to serve the System Component Room. Coordinate size and configuration with the equipment manufacturer. Coordinate air distribution with the raised floor. Provide water sensor alarm (local and at the ECC) in the event of water leakage below the raised floor. (b)   Provide a closed loop, dedicated, water chiller to cool the MRI equipment. Chiller shall be air cooled and remotely located. Provide cross connections with the central chilled water plant. Additional considerations are: Ensure that the water quality (pH value, hardness, and solid suspended contents) are in accordance with the equipment manufacturer's specifications. All piping from the System Component Room entering the MRI Scanning Room shall meet "Radio Frequency Requirements."  Provide clearly marked and identified access for the piping located in walls and chases. Coordinate chilled water flow requirement, chilled water temperature, and division in scope of work (connection detail) at each chilled water connection.</t>
  </si>
  <si>
    <t>WTG04</t>
  </si>
  <si>
    <t>MRI Visiting Area</t>
  </si>
  <si>
    <t xml:space="preserve">IMAGING SERIES (NUCLEAR MEDICINE SERVICES) </t>
  </si>
  <si>
    <t>XDBD1</t>
  </si>
  <si>
    <t>Bone Densitometry Room</t>
  </si>
  <si>
    <t>NMGS1</t>
  </si>
  <si>
    <t>Nuclear Medicine Scanning Room (Patient Examination Room)</t>
  </si>
  <si>
    <t>Note 1 - Air Balance. Provide visual indicator to demonstrate negative air balance.  Exhaust space at 115% of supply air flow.</t>
  </si>
  <si>
    <t>Note 2 - Air Distribution. Locate supply and exhaust air outlets to create a directional airflow and transfer air from the adjoining area. Locate 50% of exhaust air outlets at ceiling level and 50% of exhaust air outlets at 7 in [175 mm] above finished floor.</t>
  </si>
  <si>
    <t>Note 3 - Xenon Gas. If xenon gas is used in this room, coordinate with the local radiation safety officer for any additional measures.</t>
  </si>
  <si>
    <t>NMRP1</t>
  </si>
  <si>
    <t>Nuclear Medicine  “Hot Lab” / Radiopharmacy</t>
  </si>
  <si>
    <t>Note 1 - Fume Hoods. This room is also known as the Radiopharmacy Room. Coordinate quantity and type of fume hoods and/or biological safety cabinets and provide an appropriate, dedicated exhaust system(s) to serve the hoods. See Chapter 3. If radioactive xenon gas and/or radioactive iodine are used in this space, coordinate with the local radiation safety officer for additional measures necessary, if any. Provide a supplementary general exhaust system, if required per the room air balance.</t>
  </si>
  <si>
    <t>Note 2 - Air Balance. Provide volumetric controls to demonstrate negative air balance.</t>
  </si>
  <si>
    <t>Note 3 - Air Distribution. Locate supply and exhaust air outlets to create a directional airflow and transfer air from the adjoining area.</t>
  </si>
  <si>
    <t>NMIR1</t>
  </si>
  <si>
    <t>Patient Dose Administration</t>
  </si>
  <si>
    <t>Note 2 - Air Distribution. Locate supply and exhaust air outlets to create a directional airflow and transfer air from the adjoining area.</t>
  </si>
  <si>
    <t>NMRCR1</t>
  </si>
  <si>
    <t>PET/CT Control Room</t>
  </si>
  <si>
    <t>NMSS1</t>
  </si>
  <si>
    <t>PET/CT Scanning Room</t>
  </si>
  <si>
    <t>Note 1 - Air Balance. Provide volumetric controls to demonstrate negative air balance.</t>
  </si>
  <si>
    <t>PET/CT System Component
 Room</t>
  </si>
  <si>
    <t>Note 1 - HVAC System. (a)  Provided a dedicated air conditioning unit to serve the System Component Room. Coordinate size and configuration with the equipment manufacturer. Coordinate air distribution with the raised floor. Provide water sensor alarm (local and at the ECC) in the event of water leakage below the raised floor. (b)   Provide a closed loop, dedicated, water chiller to cool the PET/CT equipment. Chiller shall be air cooled and remotely located. Provide cross connections with the central chilled water plant. Additional considerations are: Ensure that the water quality (pH value, hardness, and solid suspended contents) are in accordance with the equipment manufacturer's specifications.   Provide clearly marked and identified access for the piping located in walls and chases. Coordinate chilled water flow requirement, chilled water temperature, and division in scope of work (connection detail) at each chilled water connection. (c)   Coordinate technical and contractual requirements with manufacturer of PET/CT system.  Ensure chilled water equipment, if provided by PET/CT manufacturer is installed by mechanical contractor and powered by electrical contractor.  Ensure system startup is consistent with PET/CT manufacturer's requirements and provide pipe manifolds and instruments needed for startup.</t>
  </si>
  <si>
    <t>IMAGING SERIES (NUCLEAR MEDICINE SERVICES)</t>
  </si>
  <si>
    <t>Radio Chemistry Room</t>
  </si>
  <si>
    <t xml:space="preserve">IMAGING SERIES (RADIATION THERAPY SERVICES) </t>
  </si>
  <si>
    <t>XTSC1</t>
  </si>
  <si>
    <t>CT Simulator Control Room</t>
  </si>
  <si>
    <t>XTSG1</t>
  </si>
  <si>
    <t>CT Simulator Unit Room</t>
  </si>
  <si>
    <t>XTLA1</t>
  </si>
  <si>
    <t>Linear Accelerator (IMRT) Room</t>
  </si>
  <si>
    <t>XTLC1</t>
  </si>
  <si>
    <t>Linear Accelerator Control Area</t>
  </si>
  <si>
    <t>XTTP1</t>
  </si>
  <si>
    <t>Treatment Planning Computer Room - Dosimetry Room</t>
  </si>
  <si>
    <t>XDUS1</t>
  </si>
  <si>
    <t>Ultrasound Planning Unit Room</t>
  </si>
  <si>
    <t>Note 1 - Air Balance. Maintain negative room air balance in adjoining toilet by 100% exhaust of toilet at 10 ACH.</t>
  </si>
  <si>
    <t>XCTC1</t>
  </si>
  <si>
    <t>CT Area - Control Room</t>
  </si>
  <si>
    <t>XCTS1</t>
  </si>
  <si>
    <t>CT Area - Scanning Room</t>
  </si>
  <si>
    <t>XACR1</t>
  </si>
  <si>
    <t>IR Area -   Control Room</t>
  </si>
  <si>
    <t>XABP1</t>
  </si>
  <si>
    <t>IR Area - Procedure Room</t>
  </si>
  <si>
    <t>XACV1</t>
  </si>
  <si>
    <t>IR Area -  System Component Room</t>
  </si>
  <si>
    <t>XDCS1</t>
  </si>
  <si>
    <t>Patient Area - Chest Room</t>
  </si>
  <si>
    <t>XDR01</t>
  </si>
  <si>
    <t>Patient Area - Head Room/ Tomography</t>
  </si>
  <si>
    <t>Patient Area - General Purpose Radiology Room</t>
  </si>
  <si>
    <t xml:space="preserve">Note - Communicable Disease Isolation. See Communicable Disease Isolation room requirements elsewhere in Chapter 6 tables if a room needs to be provided with isolation capability.             </t>
  </si>
  <si>
    <t>XDM01</t>
  </si>
  <si>
    <t>Mammography Room</t>
  </si>
  <si>
    <t>XDRF1</t>
  </si>
  <si>
    <t>Patient Area - Radiographic/Fluoroscopic Room</t>
  </si>
  <si>
    <t>Note 1 - Alternate Exhaust System. Provide a special exhaust system and maintain the room under negative air balance if the procedures involve the use of noxious gases and / or chemical vapors, generally contained in a hood.  Coordinate hood size and type with the equipment drawings.</t>
  </si>
  <si>
    <t>Patient Area - Ultrasound Room</t>
  </si>
  <si>
    <t>Note 1 - Air Balance. Maintain negative room air balance in adjoining toilet by 100% exhaust of 10 ACH.</t>
  </si>
  <si>
    <t>WTG03</t>
  </si>
  <si>
    <t>Radiology Waiting Room</t>
  </si>
  <si>
    <t>Note  1 - Risk Assessment. Conduct risk assessment to determine if radiology waiting room should be 100% exhausted and maintained negative.  If warranted design the HVAC for this room as indicated in Table 7.1 of the ASHRAE Standard 170 - 2016 or latest approved edition.</t>
  </si>
  <si>
    <t>INFECTIOUS ISOLATION AND PROTECTIVE ENVIRONMENT</t>
  </si>
  <si>
    <t>Infectious Isolation Rooms  and Protective Environments</t>
  </si>
  <si>
    <t xml:space="preserve">Note 1 -   General. Isolation Rooms are classified into two categories: Airborne Infection Isolation (AII), and Protective Environment (PE).  Combining the two types of rooms is strictly prohibited.  An ante room shall be provided for every PE room and for every AII room.  Room codes assigned to these rooms will vary based on the clinical function in which they are being used.  (a)  Ante Rooms facilitate intended design air balance and maintain pressure differentials. (b)  Ante Rooms provide better protection by isolating PE patients from the adjoining environment and the adjoining environment from the AII patient. (c)  Ante Rooms provide the space required to don protective equipment before entering the isolation room. (d)  Ante Rooms can be used for hand hygiene and storage of personal protective equipment and clean equipment. (e)  ACH ventilation rates are minimum, actual number shall be the higher of 12 ACH, CFM required for cooling load, and CFM required to maintain required space pressure differential between the AII room and the anteroom.  The differential shall be calculated based on the installed door size and characteristics.  Coordinate with architecture. </t>
  </si>
  <si>
    <t>Infectious Isolation Rooms
 Aii Ante Room</t>
  </si>
  <si>
    <t xml:space="preserve">Note 1 - Special Exhaust System. Provide a dedicated, special exhaust system for the Patient Bedroom, Ante Room and Patient Toilet (where present). Do not connect rooms other than infection isolation rooms to the dedicated exhaust system. Locate the exhaust fan at the end of the duct run to maintain the ductwork within the building at a negative pressure and install bag-in-bag out HEPA filters just prior to the fan inlet.  Discharge exhaust air above the highest roof level through a stack at least 10 ft [3 m] tall at 3,500 fpm [18 m/s] discharge velocity. The discharge air outlet shall be located at least 25 ft [8 m] from outdoor air intakes and operable windows. Follow the recommendations of the dispersion analysis for higher than minimum requirements. Provide emergency power for the exhaust fan and associated controls. Label ductwork, filter, and fan "COMMUNICABLE DISEASE CONTAMINATED AIR". Where ever practical connect as many AII rooms as possible to one exhaust system.  In all cases provide two exhaust system and operate in LEAD/LAG configuration with automatic controls to turn on LAG fan upon LEAD fan failure.  </t>
  </si>
  <si>
    <t>Note 2 - Instrumentation. Provide a room differential pressure monitoring device between Ante Room and Isolation Room, and between Ante Room and corridor.</t>
  </si>
  <si>
    <t>Note 3 - Air Distribution Layout. AII Ante Room. Air shall transfer from the Corridor into the Ante Room and then to the Isolation Room. The Ante Room is positive with respect to the Isolation Room and negative with respect to the Corridor.</t>
  </si>
  <si>
    <t xml:space="preserve">INFECTIOUS ISOLATION AND PROTECTIVE ENVIRONMENT </t>
  </si>
  <si>
    <t>Infectious Isolation Rooms 
Aii Isolation Room</t>
  </si>
  <si>
    <t xml:space="preserve">Note 3 - Air Distribution Layout. AII Isolation Room. Locate the exhaust air inlet over or near the patient bed to ensure that air flows into the room and away from the patient room door. Preferred location of the exhaust air inlet is in the wall, 7 in [175 mm] above the floor, and near the patient head rest. </t>
  </si>
  <si>
    <t>Protective Environment (PE) Positive Air Pressure</t>
  </si>
  <si>
    <t>Protective Environment Ante Room</t>
  </si>
  <si>
    <t>Note 1 - Terminal HEPA Filter. Provide duct-mounted, terminal MERV 17 (HEPA) filter downstream of the dedicated air terminal units serving the Isolation Rooms. Ensure access for filter replacement and instrumentation. Provide a differential pressure gage and a differential pressure switch with a remote alarm to the ECC when the pressure drop exceeds the recommended pressure drop.</t>
  </si>
  <si>
    <t>Note 2 - Instrumentation.Provide a room differential pressure monitoring device between Ante Room and Isolation Room, and between Ante Room and corridor.</t>
  </si>
  <si>
    <t>Note 3 - Air Distribution Layout.  PE Ante Room. Air shall transfer  from the Isolation Room into the Ante Room and then to the Corridor. The Ante Room is negative with respect to the Isolation Room and positive with respect to the Corridor.</t>
  </si>
  <si>
    <t>Protective Environment Isolation Room</t>
  </si>
  <si>
    <t>(++)</t>
  </si>
  <si>
    <t xml:space="preserve">Note 3 - Air Distribution Layout.  PE Isolation Room. Locate the exhaust air inlet over or near the entry door to ensure that air flows into the room and away from the patient bed. </t>
  </si>
  <si>
    <t xml:space="preserve">PATHOLOGY &amp; LABORATORIES </t>
  </si>
  <si>
    <t>Note 1 - General: Coordinate supply and exhaust air volumes with the fume hoods and biological safety cabinets. A general exhaust system shall be provided where spaces are not equipped with fume hoods and/or biological safety cabinets.</t>
  </si>
  <si>
    <t>Bacteriology</t>
  </si>
  <si>
    <t>Biochemistry</t>
  </si>
  <si>
    <t>Cytology</t>
  </si>
  <si>
    <t>Dry Laboratories</t>
  </si>
  <si>
    <t>Glass Washing</t>
  </si>
  <si>
    <t>Histology</t>
  </si>
  <si>
    <t>Media Transfer</t>
  </si>
  <si>
    <t>Note 1 - Room Air Returns.  Room air can be returned if chemicals are not used in the room.</t>
  </si>
  <si>
    <t>Microbiology</t>
  </si>
  <si>
    <t>Pathology</t>
  </si>
  <si>
    <t>Serology</t>
  </si>
  <si>
    <t>Sterilizing</t>
  </si>
  <si>
    <t>Note 1 - Wet Exhaust System. (a) Provide a wet exhaust system. (b) Where VAV supply is provided, an exhaust valve shall also be provided to ensure room balance is maintained.</t>
  </si>
  <si>
    <t xml:space="preserve">MENTAL HEALTH INPATIENT </t>
  </si>
  <si>
    <t>BRNP1</t>
  </si>
  <si>
    <t>One Bed  Patient Room Standard/Accessible/Bariatric</t>
  </si>
  <si>
    <t>Note 1 - Safety Requirements - Exposed Equipment. Use of exposed and accessible HVAC equipment is not permitted (examples:  Room-mounted fan coil unit and convectors, air outlets/inlets, temperature sensors, etc.).</t>
  </si>
  <si>
    <t>Note 2 - Safety Requirements - Suspended Ceiling. Do not use lay-in tile acoustical ceiling. Use hard ceiling or concealed snap in arrangement. Keep ceiling height as high as possible. Use security clips to retain radiant ceiling panels in place. Ensure coordination with the architectural discipline.</t>
  </si>
  <si>
    <t>Note 3 - Safety Requirements - Suspended Air Outlets/Inlets. Provide security diffusers, grilles, and registers.</t>
  </si>
  <si>
    <t>TLTS2</t>
  </si>
  <si>
    <t>Patient Toilet Standard/Accessible/Bariatric</t>
  </si>
  <si>
    <t>Note 1 - Safety Requirements - Exposed Equipment. Use of exposed and accessible HVAC equipment is not permitted (examples: Room-mounted fan coil units and convectors, air outlets/inlets, temperature sensors, etc.).</t>
  </si>
  <si>
    <t>Note 4 - Bathroom Exhaust. Bathroom shall be constantly exhausted at highest of 10 ACH rate, 50 CFM, or room air balance with the makeup air coming from the patient room thus maintaining the bathroom flow 30% negative to the patient room and the patient room neutral to the corridor; therefore the minimum outside air to the patient room shall be 2 ACH or the required bathroom makeup whichever is greater.</t>
  </si>
  <si>
    <t>Note 5 - Bathroom Temperature.  Bathrooms without heat loss do not required heating or cooling.   Bathrooms with heat loss shall be provided with a supply diffuser from the room variable air volume terminal, or radiant heating which meets the safety requirements of note 1.</t>
  </si>
  <si>
    <t>BRNP2</t>
  </si>
  <si>
    <t xml:space="preserve">Two Bed  Patient Room Standard </t>
  </si>
  <si>
    <t xml:space="preserve">Patient Toilet Standard </t>
  </si>
  <si>
    <t>Note 4 - Bathroom Exhaust. Bathroom shall be constantly exhausted at highest of 10 ACH rate, 50 CFM, or room air balance with the makeup air coming from the patient room thus maintaining the bathroom flow 30% negative to the patient room and the patient room neutral to the corridor; therefore, the minimum outside air to the patient room shall be 2 ACH or the required bathroom makeup whichever is greater.</t>
  </si>
  <si>
    <t>BRNP5</t>
  </si>
  <si>
    <t>Isolation Restraint Room / Isolation Seclusion Room</t>
  </si>
  <si>
    <t>BRNP6</t>
  </si>
  <si>
    <t>Ante Room</t>
  </si>
  <si>
    <t>TLTS3</t>
  </si>
  <si>
    <t>Note 4 - Bathroom Exhaust. Bathroom shall be constantly exhausted at highest of 10 ACH rate, 50 CFM, or room air balance with the makeup air coming from the patient room thus maintaining the bathroom flow negative to the patient room and the patient room neutral to the corridor; therefore, the minimum outside air to the patient room shall be 2 ACH or the required bathroom makeup whichever is greater.</t>
  </si>
  <si>
    <t>NSTA1</t>
  </si>
  <si>
    <t>Nursing Station</t>
  </si>
  <si>
    <t>WRCH1</t>
  </si>
  <si>
    <t>Nurse Workroom</t>
  </si>
  <si>
    <t>CRA01</t>
  </si>
  <si>
    <t>Team Room</t>
  </si>
  <si>
    <t>FSCD1</t>
  </si>
  <si>
    <t>Note 1 - Local Exhaust Requirements. Provide general and / or local exhaust as required by ASHRAE 62.1-2016 or latest approved edition.  Makeup air shall come from the Corridor.</t>
  </si>
  <si>
    <t>FSPT1</t>
  </si>
  <si>
    <t>Serving / Pantry</t>
  </si>
  <si>
    <t>Note 1 - Local Exhaust Requirements. Provide general and / or local exhaust as required by ASHRAE 62.1-2016 or latest approved edition.  Makeup air shall come from the Dining Room.</t>
  </si>
  <si>
    <t>Day Room</t>
  </si>
  <si>
    <t>OPMH1</t>
  </si>
  <si>
    <t>Group Room</t>
  </si>
  <si>
    <t>MENTAL HEALTH RESIDENTIAL REHABILITATION TREATMENT PROGRAM (RRTP) FACILITY</t>
  </si>
  <si>
    <t>BRAR2</t>
  </si>
  <si>
    <t>Suite Vestibule
(Two Bedroom Suite)</t>
  </si>
  <si>
    <t>Note 4 - Individual Temperature Control. Each bedroom in a two bedroom suite shall have individual temperature control and the vestibule shall be on the same controls as the accessible room.</t>
  </si>
  <si>
    <t>Note 5 - Pressure Relationships and makeup air. The vestibule shall be neutral to the bedrooms and positive to the bathroom and shall provide enough makeup air to makeup all the bathroom exhaust.</t>
  </si>
  <si>
    <t>One Bed  Patient Room Standard / Accessible / Bariatric</t>
  </si>
  <si>
    <t>Patient Toilet Standard / Accessible / Bariatric</t>
  </si>
  <si>
    <t>Note 5 - Bathroom Temperature. Bathrooms without heat loss do not require heating or cooling.   Bathrooms with heat loss shall be provided with a supply diffuser from the room variable air volume terminal, or radiant heating which meets the safety requirements of note 1.</t>
  </si>
  <si>
    <t>BRNC2</t>
  </si>
  <si>
    <t xml:space="preserve">Note 2 - Safety Requirements - Suspended Ceiling. Do not use lay-in tile acoustical ceiling. Use hard ceiling or concealed snap in arrangement. Keep ceiling height as high as possible. Use security clips to retain radiant ceiling panels in place. Ensure coordination with the architectural discipline. </t>
  </si>
  <si>
    <t>Living Area</t>
  </si>
  <si>
    <t>Note 1 - Safety Requirements. Comply with safety requirements indicated for patient rooms.</t>
  </si>
  <si>
    <t>Dining Area</t>
  </si>
  <si>
    <t>Kitchenette</t>
  </si>
  <si>
    <t>Note 2 - Local Exhaust Requirements. Provide general and / or local exhaust as required by ASHRAE 62.1-2016 or latest approved edition.  Makeup air shall come from the Dining Area or Multi-Purpose Room as the case may be.</t>
  </si>
  <si>
    <t>Resident Lounge</t>
  </si>
  <si>
    <t>Multi-Purpose Room/Kitchenette</t>
  </si>
  <si>
    <t>Note 2 - Local Exhaust Requirements. Provide general and / or local exhaust in kitchenette as required by ASHRAE 62.1-2016 or latest approved edition.  Makeup air shall come from the Dining Area or Multi-Purpose Room as the case may be.</t>
  </si>
  <si>
    <t>Note 3 - Temperature Control. If the rooms are separated by walls or half walls with cased opening provide individual temperature control in Multi-Purpose Room and in Kitchenette, otherwise provide one control zone for both rooms with the sensor in the multi-purpose room.</t>
  </si>
  <si>
    <t>CRA02</t>
  </si>
  <si>
    <t>Resident Education/Conference/Group Room</t>
  </si>
  <si>
    <t>Note 2 - Makeup Air Requirements. If provided with adjacent kitchen ensure this space has sufficient air to makeup kitchen exhaust.</t>
  </si>
  <si>
    <t xml:space="preserve">Note 1 - Room Air Balance and Exhaust.  Provide general and / or local exhaust as required by ASHRAE 62.1-2016 or latest approved edition, and / or by the equipment provided in the space.  Makeup air shall come from the Dining Area.  If exhaust is required the space shall be negative otherwise it shall be neutral.  Return is permitted. </t>
  </si>
  <si>
    <t>Training Kitchen</t>
  </si>
  <si>
    <t>Note 2 - Outside Air Requirements. If this space is served by a dedicated air handling unit return air may be used.  If the space is served by an air handling unit used for other occupied spaces then all air delivered to the kitchen shall be exhausted and no return shall be allowed.  Adjust the minimum outside air for the air handling unit such that the entire system is at least 15% positive by flow, while maintaining the kitchen negative to its surroundings.</t>
  </si>
  <si>
    <t xml:space="preserve">Note 3 - Kitchen Exhaust For Kitchens With Dedicated Air Handling Units. An NFPA 96 dedicated exhaust system shall serve hoods over cooking equipment.  When the kitchen hood systems are off the exhaust system shall exhaust at least 2 air changes per hour and shall maintain the kitchen negative relative to its surroundings. </t>
  </si>
  <si>
    <t>Note 4 - Kitchen Exhaust For Kitchens Without Dedicated Air Handling Units. An NFPA 96 dedicated exhaust system shall serve hoods over cooking equipment.  Supplemental exhaust shall ensure the kitchen space is maintained negative to its surrounding during all occupied times regardless of whether or not the kitchen hoods are operating.</t>
  </si>
  <si>
    <t>Recreation Therapy Room</t>
  </si>
  <si>
    <t>MENTAL HEALTH OUTPATIENT SERVICES</t>
  </si>
  <si>
    <t>EXRG3</t>
  </si>
  <si>
    <t>Note 1 - Individual Room Temperature Control. Required for a single office.  Otherwise see Chapter 2 for room temperature control requirements.</t>
  </si>
  <si>
    <t>TRGM1</t>
  </si>
  <si>
    <t>Treatment Room</t>
  </si>
  <si>
    <t>Group Therapy Room</t>
  </si>
  <si>
    <t>OPMH2</t>
  </si>
  <si>
    <t>Group Testing Room</t>
  </si>
  <si>
    <t>OPMH3</t>
  </si>
  <si>
    <t>Biofeedback Laboratory Treatment Room</t>
  </si>
  <si>
    <t>CMP02</t>
  </si>
  <si>
    <t>Biofeedback Laboratory Control Room / Office</t>
  </si>
  <si>
    <t>OFD01</t>
  </si>
  <si>
    <t>Counselor Office</t>
  </si>
  <si>
    <t>SL001</t>
  </si>
  <si>
    <t>Social Activities/ Dining/Multi-Purpose</t>
  </si>
  <si>
    <t>Classroom / Group Room</t>
  </si>
  <si>
    <t>OTGC1</t>
  </si>
  <si>
    <t>Occupational Therapy</t>
  </si>
  <si>
    <t>Note 1:  Dryer Exhaust. Coordinate clothes dryer exhaust with the actual machine used.</t>
  </si>
  <si>
    <t>Note 2:  Kiln Exhaust. Coordinate kiln exhaust with actual kiln used.  Coordinate exhaust system design with NFPA 86 Standard for Ovens and Furnaces latest edition.</t>
  </si>
  <si>
    <t>NURSING WING</t>
  </si>
  <si>
    <t>BRIC1</t>
  </si>
  <si>
    <t>Patient Bedroom, Intensive Care</t>
  </si>
  <si>
    <t>Note 1 - Filtration Requirements. For ICUs served by the Surgical Suite AHU, refer to the surgical AHU for terminal filtration requirements.</t>
  </si>
  <si>
    <t>Patient Bedroom</t>
  </si>
  <si>
    <t>Litter Bath</t>
  </si>
  <si>
    <t>Nurses Station</t>
  </si>
  <si>
    <t>BRII1</t>
  </si>
  <si>
    <t>Patient Room, Isolation (AII)</t>
  </si>
  <si>
    <t xml:space="preserve">Note 1 - Special Exhaust System. See infectious isolation rooms/protective environment room data sheets for more information. Provide a dedicated, special exhaust system for the Patient Bedroom, Ante Room and Patient Toilet (where present). Do not connect other rooms to the dedicated exhaust system. Locate the exhaust fan at the end of the duct run to maintain the ductwork within the building at a negative pressure and install bag-in-bag out HEPA filters just prior to the fan inlet.  Discharge exhaust air above the highest roof level through a stack at least 10 ft [3 m] tall at 3,500 fpm [18 m/s] discharge velocity. The discharge air outlet shall be located at least 25 ft [8 m] from outdoor air intakes and operable windows. Follow the recommendations of the dispersion analysis for higher than minimum requirements. Provide emergency power for the exhaust fan and associated controls. Label ductwork, filter, and fan "COMMUNICABLE DISEASE CONTAMINATED AIR".  </t>
  </si>
  <si>
    <t>BRII2</t>
  </si>
  <si>
    <t>Patient Room, Isolation (PE)</t>
  </si>
  <si>
    <t>NCWD1</t>
  </si>
  <si>
    <t>Nourishment Station</t>
  </si>
  <si>
    <t>OIT DATA CENTER</t>
  </si>
  <si>
    <t>General:  The room names listed below are from the VA Infrastructure Standard for Telecommunications Spaces, with a crosswalk to their previous names in VA PG 18-9 Chapter 232 Revised October 3, 2016.  The actual room layouts, equipment disposition, and the HVAC parameters may vary with the project scope of work. This will allow designers to match the spaces generated in a PG 18-9/SEPS Program for Design to the requirements for the updated space classifications.
Common Note 1 - Multiple functional areas described in PG 18-9 are combined in the common space "Data Center" described on this sheet.  These spaces include:  ITAE1: OIT IT Active Equipment, ITPE1: OIT IT Passive Distribution Equipment, FMAE1: FMS Active Equipment, FMPE1: FMS Passive Distribution Equipment, TEIP1: VOIP Active Equipment, and ITAD1: Storage Active Data Room.</t>
  </si>
  <si>
    <t>Common Note 2 - Multiple functional areas described in PG 18-9 are combined in the common space "Data Center" described on this sheet.  These spaces include:  ITAE1: OIT IT Active Equipment, ITPE1: OIT IT Passive Distribution Equipment, FMAE1: FMS Active Equipment, FMPE1: FMS Passive Distribution Equipment, TEIP1: VOIP Active Equipment, and ITAD1: Storage Active Data Room.</t>
  </si>
  <si>
    <t>Common Note 3 - Functional area ITBU1 (Backup Computer Room) has been removed from this sheet. This is not a permitted type of space in VA facilities as described in the VA Infrastructure Standard for Telecommunications Spaces.</t>
  </si>
  <si>
    <t>OIT Data Center (see note above for PG 18-9 functional area naming conventions)</t>
  </si>
  <si>
    <t>Varies</t>
  </si>
  <si>
    <t>VAV / CV</t>
  </si>
  <si>
    <t>Note 1 – Fully Separated Supply and Return Airstreams.  In ANSI/TIA-942 Rating 3 and 4 data centers, complete separation (containment) of the supply and return airstreams is required to maximize the ΔT at the heat rejection system.</t>
  </si>
  <si>
    <t>Note 2 - Design Condition. Design the heat rejection system to operate at a minimum ΔT of 20° F (11.1° C) in all operating conditions up to the ultimate design loading.</t>
  </si>
  <si>
    <t>Note 3 - Variable / Constant Air Volume.  Data center HVAC equipment shall operate as a hybrid constant and variable volume system.  The CRAC units and their control system modulate the volume of air supplied based on the critical load operating in the room (158 CFM/kW), which varies over time, in order to maintain the minimum ΔT of 20° F (11.1° C). The supply air temperature will also be modulated over the life cycle of the data center depending on the amount of critical load, to maintain the supply temperature to the IT equipment inlet.</t>
  </si>
  <si>
    <t xml:space="preserve">Note 4 - Total ACH.  Air changes per hour will vary based on the varying amount of IT critical load operating in the space and the volume of the space. Maintain the 20°F ΔT design condition by supplying not more than 20% more than the 158CFM/kW necessary. Heat rejection and control system design shall address stepped amounts of IT critical load varying between 20% and 100% to ensure that the system will operate as intended in all operating conditions over the lifecycle of the data center. </t>
  </si>
  <si>
    <t>Note 5 - Computational Fluid Dynamics (CFD) Modeling.  Unless a VA-provided generic standard design is used without modification, all data center designs for new construction or modification  require the designer to use a CFD modeling tool to validate that the design operates effectively and efficiently in all design operating conditions in all contingency situations. The CFD model shall be used iteratively to optimize the design's effectiveness and efficiency. Where a Building Information Modeling (BIM) model of the data center is used or available in the design, VA recommends that the CFD be accomplished in the BIM model. The CFD models shall address all stepped design conditions to show appropriate pressures, temperatures, and flow rates at each condition.</t>
  </si>
  <si>
    <t>Note 6 - Cooling.  Data center heat rejection equipment shall provide an operating environment that supplies air to the IT equipment inlet between 72F and 80.6F in all design conditions including at ultimate design loading. Do not design for an ambient or mixed air condition.</t>
  </si>
  <si>
    <t>Note 7 - Heating.  Data center IT equipment requires heat rejection. There are no systems in this type of space that require heating in any contingency operating condition.</t>
  </si>
  <si>
    <t>Note 8 - Ventilation.  Calculate outside air required per ASHRAE 62.1-2016 or latest approved edition.</t>
  </si>
  <si>
    <t>Note 9 - Relative Humidity.  Recommended relative humidity requirements are a dew point between 42°F and 59°F.</t>
  </si>
  <si>
    <t>OIT DISTRIBUTED TELECOMMUNICATIONS SPACES</t>
  </si>
  <si>
    <t>General:  The room names listed below are from the VA Infrastructure Standard for Telecommunications Spaces, with a crosswalk to their previous names in VA PG 18-9 Chapter 232 Revised October 3, 2016.  The actual room layouts, equipment disposition, and the HVAC parameters may vary with the project scope of work. This will allow designers to match the spaces generated in a PG 18-9/SEPS Program for Design to the requirements for the updated space classifications.
Common Note 1 - Total ACH.  Total air changes per hour will be dependent on the amount of IT critical load operating in the space. Maintenance of the ambient temperature in the space (IT equipment inlet temperature) will dictate the amount of heat rejection and air supplied.  HVAC Equipment sizing (ductwork, Air Control Terminal Unit, air device(s), etc.) shall consider current and potential future heat generating equipment.</t>
  </si>
  <si>
    <t>Common Note 2 - Ventilation.  Calculate outside air required per ASHRAE 62.1-2016 or latest approved edition.</t>
  </si>
  <si>
    <t>Common Note 3 - Functional area TEOR1 (Telephone Operators Room) has been removed from this sheet. Provide HVAC for this space in the same manner as for other administrative functions in the building.</t>
  </si>
  <si>
    <t>TEDR1 / TEEQ1</t>
  </si>
  <si>
    <t>Enterance Rooms and Antenna Enterance Rooms (Demarcation Room / Demarc Room; Antenna Headend Equipment Room)</t>
  </si>
  <si>
    <t>Note 1 - Redundancy.  Heat rejection unit redundancy in this space classification matches the redundancy requirement of the data center that they support. See VA Infrastructure Standard for Telecommunications Spaces for additional detail.</t>
  </si>
  <si>
    <t>Note 2 - HVAC Capacity.  Each installed IT enclosure requires 5kW of cooling capacity to be available, but in aggregate 5kW per enclosure is not required. Design heat rejection capacity as follows: 1 rack TR = 5kW. 2 rack TR = 7kW. 3-rack TR = 8.5kW. 4-rack TR = 10kW.</t>
  </si>
  <si>
    <t>TER</t>
  </si>
  <si>
    <t>Telephone Equipment Room</t>
  </si>
  <si>
    <t>Note 1 - Deprecation.  The TER functional area is no longer being planned or constructed, as new VA facilities will utilize VoIP telephone systems and analog systems derived from carrier fiber terminating in Entrance Rooms.  Data about this space is included to allow planning for sustainment of existing TER spaces, which will be decommissioned and their functions transitioned to other distributed telecommunications spaces by 31 December, 2029.  Where existing TER spaces also serve in another distributed telecommunications space function, follow the guidance for the other function for sustainment purposes.</t>
  </si>
  <si>
    <t>Note 2 - Redundancy.  Heat rejection unit redundancy in this space classification is not required unless the space also provides another telecommunications  (typically an Entrance Room or Telecommunications Room) function; then, follow the more restrictive environmental guidance based on those functions.</t>
  </si>
  <si>
    <t>TETR1</t>
  </si>
  <si>
    <t>Telecommunications Room (TR)</t>
  </si>
  <si>
    <t>Note 1 - HVAC Capacity.  Each installed IT enclosure requires 5kW of cooling capacity to be available, but in aggregate 5kW per enclosure is not required. Design heat rejection capacity as follows: 1 rack TR = 5kW. 2 rack TR = 7kW. 3-rack TR = 8.5kW. 4-rack TR = 10kW.</t>
  </si>
  <si>
    <t>Note 2 - Telecommunications Enclosures (TEs).  Where TEs are used in lieu of TRs, the environmental conditioning for the containing space matches the requirements for the primary function of the space (e.g., administrative, warehouse, maintenance shop) subject to the more broad heating/cooling requirements allowed in TRs by the VA Infrastructure Standard for Telecommunications Spaces (41-95°F, 8-80% RH).</t>
  </si>
  <si>
    <t>PATIENT EXAMINATION, TREATMENT, AND PROCEDURE ROOMS</t>
  </si>
  <si>
    <t>EXOS1</t>
  </si>
  <si>
    <t>Audiology Office/Therapy Room</t>
  </si>
  <si>
    <t>PEHS1</t>
  </si>
  <si>
    <t>Audiometric</t>
  </si>
  <si>
    <t>Note 1 - Acoustic Booth. Coordinate the installation of the acoustic booth (if any) and its integral HVAC system with the architectural layout and building utilities.</t>
  </si>
  <si>
    <t>Note 2 - Room Noise Level. Provide acoustic measures to maintain the design NC level.</t>
  </si>
  <si>
    <t>LBVP1</t>
  </si>
  <si>
    <t>Blood Draw Room</t>
  </si>
  <si>
    <t xml:space="preserve">PATIENT EXAMINATION, TREATMENT, AND PROCEDURE ROOMS Bone Marrow Transplant Suite </t>
  </si>
  <si>
    <t>Donors Room</t>
  </si>
  <si>
    <t>(+ +)</t>
  </si>
  <si>
    <t>Note 1 - Terminal HEPA Filter. Provide duct-mounted, terminal MERV 17 (HEPA) filter downstream of the dedicated air terminal units serving the Donor, Patient and Recovery Rooms. Ensure access for filter replacement and instrumentation. Provide a differential pressure gage and a differential pressure switch with a remote alarm to the ECC when the pressure drop exceeds the recommended pressure drop.</t>
  </si>
  <si>
    <t>Note 3 - Air Distribution Layout.  (a) Donor Patient and Recovery Rooms. Locate the exhaust air inlet over or near the entry door to ensure that air flow into the room airway from the patient bed.  (b) Ante Room.  Air shall transfer  from the Donor Patient and Recovery Rooms into the Ante Room and then to the Corridor. The Ante Room is negative with respect to the Donor, Patient and Recovery Rooms and positive with respect to the Corridor.</t>
  </si>
  <si>
    <t>Medication Preparation Room</t>
  </si>
  <si>
    <t>Patient Rooms</t>
  </si>
  <si>
    <t xml:space="preserve"> Recovery Rooms</t>
  </si>
  <si>
    <t>Ante Room for Donor, Patient and Recovery Rooms</t>
  </si>
  <si>
    <t>(+ )</t>
  </si>
  <si>
    <t>Examination Rooms</t>
  </si>
  <si>
    <t>Note 1 - General. The design parameters are applicable to all examination rooms not involving treatment and/or procedures.</t>
  </si>
  <si>
    <t>Note 2 - Individual Room Temperature Control. Refer to Chapter 2 for the guidelines on the individual room temperature control.</t>
  </si>
  <si>
    <t>PATIENT EXAMINATION, TREATMENT, AND PROCEDURE ROOMS Therapy Rooms</t>
  </si>
  <si>
    <t>Hydrotherapy/Therapeutic Pool</t>
  </si>
  <si>
    <t>Note 1 - Hydrotherapy/Therapeutic Pool Rooms. The reheat coil capacity shall be sized to maintain up to 82 F [28 C] space temperature for the two rooms.</t>
  </si>
  <si>
    <t>Note 2 - Hydrotherapy/Therapeutic Pool. Provide a dedicated wet exhaust system.</t>
  </si>
  <si>
    <t>Kinesiotherapy</t>
  </si>
  <si>
    <t>Note 1 - Kinesiotherapy  Pool Rooms. The reheat coil capacity shall be sized to maintain up to 82 F [28 C] space temperature for the two rooms.</t>
  </si>
  <si>
    <t>Physical Therapy</t>
  </si>
  <si>
    <t>PATIENT EXAMINATION, TREATMENT, AND PROCEDURE ROOMS Treatment  Rooms</t>
  </si>
  <si>
    <t>Chemotherapy</t>
  </si>
  <si>
    <t>OPDU1</t>
  </si>
  <si>
    <t>Dermatology</t>
  </si>
  <si>
    <t>Note 1 - Risk Assessment. Conduct risk assessment if the room is to be used for dermatological procedures design per Procedure Room (formerly Class A Operation) room on next page.</t>
  </si>
  <si>
    <t>Phototherapy/Shower Room</t>
  </si>
  <si>
    <t>(o)/(-)</t>
  </si>
  <si>
    <t>Note 1 - Phototherapy/Shower Room. Maintain negative air balance in the Shower Room and neutral air balance in the Phototherapy Room.</t>
  </si>
  <si>
    <t>Tub Room</t>
  </si>
  <si>
    <t xml:space="preserve">Note 1 - Reheat Coil Capacity.  The reheat coil capacity shall be sized to maintain 86 F [30 C] space temperature.   </t>
  </si>
  <si>
    <t>OPPF1</t>
  </si>
  <si>
    <t>OPPF1:  Ventilatory Test Room</t>
  </si>
  <si>
    <t>Note 1 - Exhaust Grilles. Provide low level exhaust grilles 7 in [175 mm] above the finished floor.</t>
  </si>
  <si>
    <t>EYVF1</t>
  </si>
  <si>
    <t>EYVF1:  Visual Field/ EYFC1:  Photography Room</t>
  </si>
  <si>
    <t>Vital Signs Station</t>
  </si>
  <si>
    <t>OPCR1</t>
  </si>
  <si>
    <t>Orthopedic Clinic (Cast Room)</t>
  </si>
  <si>
    <t>Procedure Room (formerly Class A Operating)</t>
  </si>
  <si>
    <t>Note 1 - Air Distribution. Provide overhead supply and return air distribution.</t>
  </si>
  <si>
    <t>Note 2 - Procedure rooms (formerly Class A Operating Rooms) are rooms designated for the performance of procedures that do not meet the glossary definition of invasive procedure and may be performed outside the restricted area of a surgical suite but may require the use of sterile instruments or supplies.  Local anesthesia and minimal and moderate sedation may be administered but special ventilation or scavenging equipment must not be required for anesthetic agents used in these room.</t>
  </si>
  <si>
    <t>Note 3 - Minimum Filter Requirement. Provide MERV 7 and MERV 11 prefilters and MERV 14 after filter.</t>
  </si>
  <si>
    <t>PHARMACY SERVICE Inpatient and Outpatient Pharmacy Work and Support Areas</t>
  </si>
  <si>
    <t>PHOD2</t>
  </si>
  <si>
    <t>Dispensing Station</t>
  </si>
  <si>
    <t>Controlled Substance Work Area Vault</t>
  </si>
  <si>
    <t>Secured Controlled Substance Dispensing</t>
  </si>
  <si>
    <t>Extemporaneous Repackaging</t>
  </si>
  <si>
    <t>Stat Counter</t>
  </si>
  <si>
    <t>Drug Information Area</t>
  </si>
  <si>
    <t>Breakdown and Verification Receiving Area</t>
  </si>
  <si>
    <t>Inventory and Verification Receiving Area</t>
  </si>
  <si>
    <t>PHOD1</t>
  </si>
  <si>
    <t>Prescription Receiving Window</t>
  </si>
  <si>
    <t>Prescription Filling and Assembly Area</t>
  </si>
  <si>
    <t>Prescription Dispensing Area</t>
  </si>
  <si>
    <t>Prescription Mail Out</t>
  </si>
  <si>
    <t xml:space="preserve">PHARMACY SERVICE Inpatient and Outpatient Pharmacy Work and Support Areas </t>
  </si>
  <si>
    <t>Pharmacy Cache Area</t>
  </si>
  <si>
    <t>PHARMACY SERVICE Outpatient Pharmacy Patient Areas</t>
  </si>
  <si>
    <t>WTG15</t>
  </si>
  <si>
    <t>Waiting Room</t>
  </si>
  <si>
    <t>PHARMACY SERVICE Pharmacy Education Program</t>
  </si>
  <si>
    <t>OFA07</t>
  </si>
  <si>
    <t>Clinical Pharmacy Teaching Coordinator Workstation</t>
  </si>
  <si>
    <t>Pharmaceutical Experimentation Laboratory</t>
  </si>
  <si>
    <t>Exhaust</t>
  </si>
  <si>
    <t>Note 1 - Local Exhaust Hood. Provide dedicated exhaust system for fume hood or biological safety cabinet if one is provided.  Coordinate exhaust and makeup air with selected hood.</t>
  </si>
  <si>
    <t>Intern / Student Workstation</t>
  </si>
  <si>
    <t>OFA10</t>
  </si>
  <si>
    <t>Trainee Carrel</t>
  </si>
  <si>
    <t>PHARMACY SERVICE Inpatient Pharmacy Staff and Administration Areas</t>
  </si>
  <si>
    <t>Pharmacy Service Chief Office / Associate Chief Office</t>
  </si>
  <si>
    <t>Waiting</t>
  </si>
  <si>
    <t>Pharmacist Workstation</t>
  </si>
  <si>
    <t>Secretary Workstation / Clerical Workstation</t>
  </si>
  <si>
    <t>Staff Lounge</t>
  </si>
  <si>
    <t>Note 1 - Local Exhaust Hood and / or General Exhaust. Evaluate the level of cooking that may take place and design accordingly, for example if a range hood is being provided design the exhaust system for the hood.</t>
  </si>
  <si>
    <t>PHARMACY SERVICE USP Chapter 797 and USP Chapter 800 Areas</t>
  </si>
  <si>
    <t>Note 1 - General Notes. (a)  Room Names and Codes:   There are two sets of room names presented in this section.  First listed is the VA room code followed by the VA room name.  These are consistent with the codes and names found in Chapter 268: Pharmacy Service in PG-18-9 Space Planning Criteria dated March 2008 and revised October 3, 2016.  The second room name is consistent with the best available documents for USP 797 and USP 800  at the time this manual was revised.  It is recommended that the USP 797 and USP 800 room names be used on the contract documents with the VA nomenclatures presented here only for reference. (b)  USP 800:    The information in this table is consistent with USP Chapter 800 Hazardous Drugs - Handling in Health Care Settings  approved for public release on February 1, 2016 and scheduled for mandatory implementation on July 1, 2018. (c)  USP 797:  At the time this manual was being revised USP Chapter 797 Pharmaceutical Compounding - Sterile Preparations was out for public review and comments with a projected completion / publishing date of May 1, 2017.  Hence the information used for this table is based on unpublished information. However, since the majority of the changes to USP chapter 797 are for the purpose of coordinating the chapter to the newly released USP Chapter 800 using both available documents at the time of manual re-writing gives high confidence that the information presented here is will be consistent with both final documents (USP 797 and USP 800). (d) Complexity:  These Room Data Sheets should be considered only a starting point for the design of HVAC for USP 797 and USP 800 rooms.  The A/E must be familiar with and must references both USP 797 and USP 800 when completing the design work to ensure all the complexities of these spaces are addressed.</t>
  </si>
  <si>
    <t>Note 2 - Pressure Differentials. As a minimum maintain a pressure differential of 0.02 inches of water column between spaces of different cleanliness or of different chemical substance risk level.  Provide visual indicators between the rooms so that workers can easily see that correct pressure levels are being maintained.</t>
  </si>
  <si>
    <t>Note 3 - Air Terminals. Air terminals, reheat coils and their controls must be outside the clean spaces to facilitate maintenance without fouling the space.</t>
  </si>
  <si>
    <t>Note 4 - Air Distribution. Provide unidirectional air distribution with overhead supply and bottom return air collection. Locate return air inlet(s) in the wall at 7 in [175 mm] above the floor.</t>
  </si>
  <si>
    <t>Note 5 - Materials. Flexible ductwork must not be used in any of the supply and exhaust ducts serving these spaces.  All exhaust ducts and all supply ducts downstream of HEPA filters must be welded stainless steel.</t>
  </si>
  <si>
    <t>Note 6 - Monitoring. Provide visual and digital pressure display as well as digital temperature and relative humidity displays.  Trend and alarm all measurements.</t>
  </si>
  <si>
    <t>PHIV2</t>
  </si>
  <si>
    <t>Intravenous Admixture Anteroom or USP 797 Ante-areas</t>
  </si>
  <si>
    <t>Note 1:  General. This ISO Class 7 anteroom is a work room for preparation to do work in the buffer rooms.  It is a space positive to areas outside the compounding suite and negative to the cleaner spaces within the compounding suite.  Following the convention that doors shall swing into the cleaner spaces, the door into this room from outside the compounding suite shall swing into this room and doors from this room to cleaner spaces shall swing out of this room.  This room must be equipped with touchless hand washing and dryer equipment.</t>
  </si>
  <si>
    <t>Note 2:  Dual Purpose Ante Room. One ante room may be used to serve both an oncology drug buffer room and a non-oncology drug buffer room.  In that case the ante room would have 100% outside air pass through (100% exhaust less exfiltration to keep space pressurized). In all cases an ante room is needed for the oncology buffer.</t>
  </si>
  <si>
    <t>Oncology Drug Intravenous Admixture Anteroom or USP 797 or USP 800 Ante-areas</t>
  </si>
  <si>
    <t>Intravenous Admixture Aseptic Transfer Room or USP 797 Buffer</t>
  </si>
  <si>
    <t>Note 1:  General. This ISO Class 7 work area is the area in which the IV admixture work takes place.  Inside this space will be placed the Primary Engineering Controls (PEC) which in most cases is an ISO Class 5 laminar flow bench.  The admixture work takes place in the PEC.</t>
  </si>
  <si>
    <t>Note 2:  Pressure Relationships. (a) Non-Oncology Buffer:  This space must be maintained at least 0.02 inches of water column positive with respect to the ante area. (b) Oncology Buffer Area:  This space must be maintained -0.01 to  0.03 inches of water column negative with respect to the ante area or any other area adjacent to it.</t>
  </si>
  <si>
    <t>Note 3:  Exhaust System. Provide exhaust system for the primary engineering control, maintain ductwork negative by placing the fan at the end of the duct run and discharge in a location as discussed in Chapter 3 to prevent contamination of building air intakes.  The exhaust for the primary engineering control must vented through a HEPA filter system.</t>
  </si>
  <si>
    <t>Oncology Drug Preparation Area or USP 800 Buffer</t>
  </si>
  <si>
    <t xml:space="preserve">Note 4 - Air Changes Per Hour. Air changes per hour are required to be derived from HEPA filtered air supplied to the space. </t>
  </si>
  <si>
    <t>USP 800 Anteroom for Oncology Buffer</t>
  </si>
  <si>
    <t>Note 1:  General. Although it is not a requirement, this space is intended to meet two requirements in USP 797 (1):  Air from the oncology buffer must not transfer to other occupied spaces and (2):  Air from an ISO 8 space must not transfer into ISO 7 space.  Therefore, the Anteroom is designed and maintained at ISO 7 conditions and positive to the buffer and to the ante space.  Its function is to keep the oncology buffer clean with its potentially hazardous conditions (spill, evaporating etc.) contained.  There are other alternatives to this space discussed in USP 800.</t>
  </si>
  <si>
    <t xml:space="preserve">Note 2:  Pressure Relationships. This space must be maintained at least 0.04 inches of water column positive with respect to the ante area and 0.02 inches of water column positive with respect to the oncology buffer.  </t>
  </si>
  <si>
    <t>PHBS2</t>
  </si>
  <si>
    <t>Storage and Clean / Decontamination Area or USP 800 Unpacking / Storage Hazardous Drugs</t>
  </si>
  <si>
    <t>Note 1:  General. Unpacking from shipping containers shall not take place in areas used for sterile compounding nor in areas used to store or unpack non-hazardous drugs. Storage of HD shall not be in the same storage as non HD.</t>
  </si>
  <si>
    <t>Note 2:  Venting of Containment - Primary Engineering Control. If a containment primary engineering control is provided in this space, provide exhaust system for the primary engineering control, maintain ductwork negative by placing the fan at the end of the duct run and discharge in a location as discussed in Chapter 3 to prevent contamination of building air intakes.  The exhaust for the primary engineering control must vented through a HEPA filter system.</t>
  </si>
  <si>
    <t xml:space="preserve">Note 3 - Air Changes Per Hour. Air changes per hour are required to be derived from HEPA filtered air supplied to the space. </t>
  </si>
  <si>
    <t>POLYTRAUMA REHABILITATION CENTER Inpatient Nursing Unit</t>
  </si>
  <si>
    <t>BRSM1</t>
  </si>
  <si>
    <t>TSPP1</t>
  </si>
  <si>
    <t>Patient Toilet / Shower</t>
  </si>
  <si>
    <t>Note 1 - Bathroom  Temperature. Bathrooms with heat loss shall be provided with diffuser from room terminal or preferably with  radiant heating.</t>
  </si>
  <si>
    <t>Note 2 - Bathroom  Exhaust and Makeup Air. Bathrooms shall be constantly exhausted at a minimum of 10 ACH per hour and shall be maintained negative under all load conditions.  Makeup air shall be from the patient room.  The patient room shall be neutral to the corridor and positive to the bathroom.</t>
  </si>
  <si>
    <t>Inpatient Nurse Station</t>
  </si>
  <si>
    <t>RCA01</t>
  </si>
  <si>
    <t>Crash Cart Alcove</t>
  </si>
  <si>
    <t>Note 1 - General. If crash cart alcove is exposed to heat loss or gain provide the space with a diffuser from the terminal serving the nurse station to offset the loads.</t>
  </si>
  <si>
    <t>PRD01</t>
  </si>
  <si>
    <t xml:space="preserve">Note 1:  Dining Room Exhaust. Provide general exhaust to maintain space negative and to meet ASHRAE 62.1-2016 or latest approved edition requirements.  The remainder of the supply can be returned to the air handling unit.  </t>
  </si>
  <si>
    <t>SRE01</t>
  </si>
  <si>
    <t>Food Pantry Storage</t>
  </si>
  <si>
    <t>OT Training Kitchen</t>
  </si>
  <si>
    <t>Note 1:  Kitchen Exhaust. Provide general exhaust to maintain space negative.  The remainder of the supply can be returned to the air handling unit.  If a range hood is provided, design exhaust per NFPA 96 latest edition at the time of design.  Ensure general exhaust by itself is adequate to maintain the space negative even if the hood exhaust is off.</t>
  </si>
  <si>
    <t>CLR09</t>
  </si>
  <si>
    <t>Family Wellness Multipurpose Room</t>
  </si>
  <si>
    <t>PLAY1</t>
  </si>
  <si>
    <t>Playroom</t>
  </si>
  <si>
    <t>LAUN1</t>
  </si>
  <si>
    <t>Patient Laundry Room</t>
  </si>
  <si>
    <t>Note 1 - Exhaust Provide dryer exhaust and coordinate with actual equipment used.  General exhaust shall maintain the space negative and at minimum 10 ACH when the dryer exhaust is not in use.</t>
  </si>
  <si>
    <t>PRGY1</t>
  </si>
  <si>
    <t>Rehabilitation Therapy Gym</t>
  </si>
  <si>
    <t>Note 1 - Exhaust. Maintain minimum required exhaust per ASHRAE Standard 62.1-2016 or latest approved edition and ensure space is minimum 15% negative under all load conditions.</t>
  </si>
  <si>
    <t>PREV1</t>
  </si>
  <si>
    <t>PT/OT Evaluation Room</t>
  </si>
  <si>
    <t>WRTM1</t>
  </si>
  <si>
    <t>PRRT1</t>
  </si>
  <si>
    <t>Recreation Therapy Group Room</t>
  </si>
  <si>
    <t>Note 1 - General. Evaluate planned activities that may require the space to be negative or may require local or general exhaust.</t>
  </si>
  <si>
    <t>PRNT1</t>
  </si>
  <si>
    <t>Neuropsychology Testing Lab</t>
  </si>
  <si>
    <t>PRTM1</t>
  </si>
  <si>
    <t>BROS Treatment/Office</t>
  </si>
  <si>
    <t>PRAT1</t>
  </si>
  <si>
    <t>Assistive Technology Lab</t>
  </si>
  <si>
    <t>PRRE1</t>
  </si>
  <si>
    <t>Rehabilitation Engineering Room</t>
  </si>
  <si>
    <t>Note 1 - Rehabilitation Engineering Room. In addition to 100% exhaust from this space evaluate the need for local contaminant source exhaust.</t>
  </si>
  <si>
    <t>Assistive Technology
Equipment Storage</t>
  </si>
  <si>
    <t>Note 1 - Temperature Control in Assistive Technology Equipment Storage. Provide temperature control only if required by Chapter 2.  Otherwise provide cooling and heating from the Rehabilitation Engineering Room VAV terminal.</t>
  </si>
  <si>
    <t>Speech Language Pathologist Office</t>
  </si>
  <si>
    <t>OFD05</t>
  </si>
  <si>
    <t>Provider Office</t>
  </si>
  <si>
    <t xml:space="preserve">POLYTRAUMA REHABILITATION CENTER Polytrauma Transitional Rehabilitation Program </t>
  </si>
  <si>
    <t>BRPT3</t>
  </si>
  <si>
    <t>Resident Toilet/Shower</t>
  </si>
  <si>
    <t>PRAP1</t>
  </si>
  <si>
    <t>Apartment Living Room</t>
  </si>
  <si>
    <t>BRPT1</t>
  </si>
  <si>
    <t>Apartment Bedroom</t>
  </si>
  <si>
    <t>BTPU1</t>
  </si>
  <si>
    <t>Apartment Bathroom</t>
  </si>
  <si>
    <t>Note 1 - Bathroom  Temperature. Bathrooms with heat loss shall be provided with diffuser from room terminal or preferably with radiant heating.</t>
  </si>
  <si>
    <t>PRCO3</t>
  </si>
  <si>
    <t>Apartment Kitchenette/Laundry</t>
  </si>
  <si>
    <t>Note 1 - Kitchenette / Laundry Temperature Control. When consistent with good engineering practice based on load profiles, the kitchenette / laundry may be placed on the same temperature control zone as the living room.</t>
  </si>
  <si>
    <t>Note 2 - Kitchenette / Laundry Exhaust. Provide dryer exhaust system.  Coordinate with equipment to be used.  Provide NFPA 96 kitchen hood exhaust system in the design and coordinate with equipment to be used.</t>
  </si>
  <si>
    <t>Apartment Storage</t>
  </si>
  <si>
    <t>NSTA6</t>
  </si>
  <si>
    <t>Transitional Rehabilitation 
Nurse Station</t>
  </si>
  <si>
    <t>Resident Living Room</t>
  </si>
  <si>
    <t>Resident Dining Room</t>
  </si>
  <si>
    <t>Note 1:  Dining Room Exhaust. Provide general exhaust to maintain space negative to corridor and to meet ASHRAE 62.1-2016 or latest approved edition requirements.  The remainder of the supply can be returned to the air handling unit.  Note this space shall be positive to the kitchen.</t>
  </si>
  <si>
    <t>PRK01</t>
  </si>
  <si>
    <t>Resident Kitchen</t>
  </si>
  <si>
    <t>Note 1:  Kitchen Exhaust. Provide NFPA 96 compliant exhaust system for cooking equipment and provide general exhaust as required to ensure the space is 100% exhausted even when kitchen equipment is not being operated.</t>
  </si>
  <si>
    <t>PRGY2</t>
  </si>
  <si>
    <t>PRAT2</t>
  </si>
  <si>
    <t>Assistive Technology
 Equipment Storage</t>
  </si>
  <si>
    <t>Note 1 - General. If equipment storage is exposed to heat loss or gain provide the space with a diffuser from the terminal serving the nurse station to offset loads.</t>
  </si>
  <si>
    <t>POLYTRAUMA REHABILITATION CENTER Outpatient Unit</t>
  </si>
  <si>
    <t>EXRG0</t>
  </si>
  <si>
    <t>Outpatient Exam Room</t>
  </si>
  <si>
    <t>PTEM1</t>
  </si>
  <si>
    <t>PTBT1</t>
  </si>
  <si>
    <t>Chiropractic Exam Room</t>
  </si>
  <si>
    <t>PRP01</t>
  </si>
  <si>
    <t>Pain Procedure Room</t>
  </si>
  <si>
    <t>PRDT1</t>
  </si>
  <si>
    <t>Driver Training Room</t>
  </si>
  <si>
    <t>PTGL1</t>
  </si>
  <si>
    <t>Gait Observation Lab</t>
  </si>
  <si>
    <t>Gait Lab Storage Room</t>
  </si>
  <si>
    <t>PREX1</t>
  </si>
  <si>
    <t>Gait Lab Exam Room</t>
  </si>
  <si>
    <t>PRGY3</t>
  </si>
  <si>
    <t>Patient Rehabilitation  Therapy Gym</t>
  </si>
  <si>
    <t>PRST1</t>
  </si>
  <si>
    <t>Speech Therapy Lab</t>
  </si>
  <si>
    <t>PRN01</t>
  </si>
  <si>
    <t>Balance Testing Room</t>
  </si>
  <si>
    <t>PRV01</t>
  </si>
  <si>
    <t>Vestibular Room</t>
  </si>
  <si>
    <t>Cognitive Therapy / Counseling Room</t>
  </si>
  <si>
    <t>PRRT2</t>
  </si>
  <si>
    <t>Recreational Therapy Group 
Room</t>
  </si>
  <si>
    <t>PULMONARY MEDICINE SERVICE Procedure Room</t>
  </si>
  <si>
    <t>Pulmonary Function Testing Laboratory</t>
  </si>
  <si>
    <t>Note 1 - General. l: The space types listed in this manual reflect the terminology and functions used in the Department of Veterans Affairs, Pulmonary Medicine Service  Design Guide dated November 29, 2011.</t>
  </si>
  <si>
    <t>Note 2 - Air Handling Unit. If the size and / or arrangement of a specific pulmonary medicine service department warrants it, a separate air handling unit may be provided for this function, in general, however, any air handling unit meeting the minimum requirements of the Pulmonary Medicine Service AHU sheet and space requirements in the room data sheets (RDS) may be used.</t>
  </si>
  <si>
    <t>Note 3 - Sputum Collection.  Induced sputum collection should be preformed in a negative pressure room appropriate for that purpose.</t>
  </si>
  <si>
    <t>OPPF2</t>
  </si>
  <si>
    <t>Extended Pulmonary Function Testing Laboratory</t>
  </si>
  <si>
    <t>OPPF5</t>
  </si>
  <si>
    <t>Pulmonary Exercise Physiology Laboratory</t>
  </si>
  <si>
    <t>OPRT1</t>
  </si>
  <si>
    <t>Respiratory Therapy Room</t>
  </si>
  <si>
    <t>Aerosolized Pentamidine Room</t>
  </si>
  <si>
    <t>TRPE2</t>
  </si>
  <si>
    <t>Bronchoscopy Procedure Room</t>
  </si>
  <si>
    <t>OPPF6</t>
  </si>
  <si>
    <t>Sleep Study Room</t>
  </si>
  <si>
    <t>OPPF7</t>
  </si>
  <si>
    <t>Sleep Study Monitor Room</t>
  </si>
  <si>
    <t>Patient Prep and Recovery</t>
  </si>
  <si>
    <t>R&amp;D Common Back Area</t>
  </si>
  <si>
    <t>SB241</t>
  </si>
  <si>
    <t>R&amp;D Gas Manifold Room, Bldg Sprt</t>
  </si>
  <si>
    <t xml:space="preserve">Note 1 - Room Exhaust. Transfer air from adjoining spaces for exhaust. Do not supply air under positive air pressure. Locate exhaust intakes within 12 inches of the floor.  </t>
  </si>
  <si>
    <t>R&amp;D Housekeeping Aides Closet (HAC), Bldg Sprt</t>
  </si>
  <si>
    <t>SB267</t>
  </si>
  <si>
    <t>R&amp;D Recycling Room, Bldg Sprt</t>
  </si>
  <si>
    <t>SB551</t>
  </si>
  <si>
    <t>R&amp;D Full / Empty Gas Cylinder Storage Room, Lgstcs Svc</t>
  </si>
  <si>
    <t>SB561</t>
  </si>
  <si>
    <t>R&amp;D Flammable Storage Room, Lgstcs Svc</t>
  </si>
  <si>
    <t>Note 1 - Exhaust System. Provide a dedicated exhaust system. Locate exhuast intakes within 12 inches of the floor.  Exhaust to discharge directly to the building exterior. Comply with NFPA 30.</t>
  </si>
  <si>
    <t>SB565</t>
  </si>
  <si>
    <t>R&amp;D Corrosive Storage Room, Lgstcs Svc</t>
  </si>
  <si>
    <t>Note 1 - Exhaust System. Provide a dedicated exhaust system. Terminate exhaust at least 10 ft. [3 m] above the highest roof level. Discharge exhaust at 3,500 fpm [18 m/s] and/or according to the dispersion analysis recommendations. Evaluate the need for filtration in the exhaust air duct before discharging outdoors. Consult with the end users and local safety officer for exhaust air filtration requirements.</t>
  </si>
  <si>
    <t>SB687</t>
  </si>
  <si>
    <t>R&amp;D Receiving Room, Lgstcs Svc</t>
  </si>
  <si>
    <t>Note 1 - Heating System. Provide an air curtain with a heating element. Interlock the air curtain start with the loading dock door operating mechanism. Activate heating when the ambient temperature drops below 45 F [7 C] temperature.</t>
  </si>
  <si>
    <t>R&amp;D Conference / Multipurpose Storage Room, Lgstcs Svc</t>
  </si>
  <si>
    <t>SC816</t>
  </si>
  <si>
    <t>R&amp;D Flex Storage, R&amp;D,  R&amp;D</t>
  </si>
  <si>
    <t>SC821</t>
  </si>
  <si>
    <t>Chemical Waste Room, R&amp;D</t>
  </si>
  <si>
    <t>SC822</t>
  </si>
  <si>
    <t>Radioactive Waste Room, R&amp;D</t>
  </si>
  <si>
    <t>SC823</t>
  </si>
  <si>
    <t>Biological Waste Room, R&amp;D</t>
  </si>
  <si>
    <t>R&amp;D Conference / Multipurpose Room, Educ Svc</t>
  </si>
  <si>
    <t>Note 1 - Energy Conservation Initiative. Evaluate the feasibility of using a carbon-dioxide (CO2) and/or occupancy sensors to conserve energy during part load conditions. The control sequence shall be project-specific. Follow requirements in ASHRAE Standard 62.1.</t>
  </si>
  <si>
    <t>R&amp;D Administrative Officer (AO) Office, Stff Sprt</t>
  </si>
  <si>
    <t>R&amp;D Administrative Chief of Staff (ACOS) Office, Stff Sprt</t>
  </si>
  <si>
    <t>R&amp;D Research Compliance Officer (RCO) Office, Stff Sprt</t>
  </si>
  <si>
    <t>R&amp;D Breakdown, Lgstcs Svc</t>
  </si>
  <si>
    <t>R&amp;D Copy / Supply Alcove, Stff Sprt</t>
  </si>
  <si>
    <t>R&amp;D Common Front Area</t>
  </si>
  <si>
    <t>SB091</t>
  </si>
  <si>
    <t>R&amp;D Contact / Information Station, Bldg Sprt</t>
  </si>
  <si>
    <t>SB191</t>
  </si>
  <si>
    <t>R&amp;D Visitor Universal Toilet, Bldg Sprt</t>
  </si>
  <si>
    <t>SB851</t>
  </si>
  <si>
    <t>R&amp;D Security Station, Police Svc</t>
  </si>
  <si>
    <t xml:space="preserve">R&amp;D Common Front Area
</t>
  </si>
  <si>
    <t>R&amp;D Waiting, Stff Sprt</t>
  </si>
  <si>
    <t>R&amp;D  Non-Profit (N-P)</t>
  </si>
  <si>
    <t>SC814</t>
  </si>
  <si>
    <t>N-P Office Storage Room, R&amp;D</t>
  </si>
  <si>
    <t>R&amp;D N-P Director Office, Stff Sprt</t>
  </si>
  <si>
    <t>R&amp;D N-P Executive Director Office, Stff Sprt</t>
  </si>
  <si>
    <t>R&amp;D N-P Staff Workstation, Stff Sprt</t>
  </si>
  <si>
    <t>R&amp;D N-P Reception, Stff Sprt</t>
  </si>
  <si>
    <t>R&amp;D N-P Waiting, Stff Sprt</t>
  </si>
  <si>
    <t>R&amp;D N-P Copy / Supply Alcove, Stff Sprt</t>
  </si>
  <si>
    <t>Rehabilitation Research &amp; Development Unit (RRDU)</t>
  </si>
  <si>
    <t xml:space="preserve">
RR&amp;D Female Staff Toilet, Bldg Sprt</t>
  </si>
  <si>
    <t xml:space="preserve">
RR&amp;D Male Staff Toilet, Bldg Sprt</t>
  </si>
  <si>
    <t>RR&amp;D Housekeeping Aides Closet (HAC), Bldg Sprt</t>
  </si>
  <si>
    <t>RR&amp;D Mailroom, Lgstcs Svc</t>
  </si>
  <si>
    <t>RR&amp;D Conference / Multipurpose Storage Room, Lgstcs Svc</t>
  </si>
  <si>
    <t>Note 1 - General. This is a small closet (80 SF) and does not require HVAC.</t>
  </si>
  <si>
    <t>RR&amp;D Research Informatics Room, R&amp;D</t>
  </si>
  <si>
    <t>RR&amp;D Patient Interview Room, R&amp;D</t>
  </si>
  <si>
    <t>RR&amp;D Exam Room, R&amp;D</t>
  </si>
  <si>
    <t>SC811</t>
  </si>
  <si>
    <t>RR&amp;D Records Storage Room, R&amp;D</t>
  </si>
  <si>
    <t>RR&amp;D Conference / Multipurpose Room, Educ Svc</t>
  </si>
  <si>
    <t>RR&amp;D PI Office, Stff Sprt</t>
  </si>
  <si>
    <t>RR&amp;D Touch-Down Office, Stff Sprt</t>
  </si>
  <si>
    <t xml:space="preserve">
RR&amp;D Collaboration Station, Stff Sprt</t>
  </si>
  <si>
    <t>RR&amp;D Trainee Workstation, Stff Sprt</t>
  </si>
  <si>
    <t xml:space="preserve"> 
RR&amp;D Researcher Workstation, Stff Sprt</t>
  </si>
  <si>
    <t>RR&amp;D Reception, Stff Sprt</t>
  </si>
  <si>
    <t>RR&amp;D Waiting, Stff Sprt</t>
  </si>
  <si>
    <t>RR&amp;D Private Call Room, Stff Sprt</t>
  </si>
  <si>
    <t>Note 1 - Energy Conservation Initiative. Evaluate the feasibility of using a carbon-dioxide (CO2) and/or occupancy sensors to conserve energy during part load conditions. The control sequence shall be
project-specific. Follow requirements in ASHRAE Standard 62.1.</t>
  </si>
  <si>
    <t>RR&amp;D Coat Closet, Stff Sprt</t>
  </si>
  <si>
    <t>RR&amp;D Female Staff Locker Room, Stff Sprt</t>
  </si>
  <si>
    <t>RR&amp;D Male Staff Locker Room, Stff Sprt</t>
  </si>
  <si>
    <t xml:space="preserve">RR&amp;D Staff Breakroom, Stff Sprt
</t>
  </si>
  <si>
    <t>Note 1 - Room Air. Return air is permitted if the lounge is not equipped with vending machines, microwave, refrigerator, etc., otherwise follow requirements in ASHRAE Standard 62.1.</t>
  </si>
  <si>
    <t>RR&amp;D Copy / Supply Alcove, Stff Sprt</t>
  </si>
  <si>
    <t>RR&amp;D Huddle Room, Stff Sprt</t>
  </si>
  <si>
    <t>RR&amp;D Vending Alcove, VC Svc</t>
  </si>
  <si>
    <t>SPINAL CORD INJURY/DISORDERS CENTER Acute Care Unit Patient Area and Long Term Care Unit Patient Area</t>
  </si>
  <si>
    <t>BRMS1</t>
  </si>
  <si>
    <t>One-Bed Patient Room</t>
  </si>
  <si>
    <t>Note 1 -Total Air Changes Per Hour &amp; Negative Air Balance. Unlike other patient room / patient bathroom combinations these bathrooms will only get part of the makeup air from the patient bathroom.  Each bathroom shall have its own constant volume temperature control terminal which shall provide enough makeup air to keep the bathroom negative relative to the patient room.</t>
  </si>
  <si>
    <t>Note 2 - Energy Conservation Initiative. Include occupied / unoccupied mode of operation to conserve energy by analyzing the cost effectiveness of such features as occupancy sensors, two position supply air control, two position exhaust air control, and variable outside air control at the air handling unit.</t>
  </si>
  <si>
    <t>BRMS2</t>
  </si>
  <si>
    <t>Two-Bed Patient Room</t>
  </si>
  <si>
    <t>TSPS1</t>
  </si>
  <si>
    <t>Patient Bathroom</t>
  </si>
  <si>
    <t>BRIT1</t>
  </si>
  <si>
    <t>Negative Pressure Isolation Patient Room (AII)</t>
  </si>
  <si>
    <t>Note 1 - Special Exhaust System . Provide a dedicated, special exhaust system for the Patient Bedroom, Ante Room and Patient Toilet (where present). Do not connect other rooms to the dedicated  exhaust system. Locate the exhaust fan at the end of the duct run to maintain the ductwork within the building at a negative pressure and install bag-in-bag out HEPA filters just prior to the fan inlet.  Discharge exhaust air above the highest roof level through a stack at least 10 ft [3 m] tall at 3,500 fpm [18 m/s] discharge velocity. The discharge air outlet shall be located at least 25 ft [8 m] from outdoor air intakes and operable windows. Follow the recommendations of the dispersion analysis for higher than minimum requirements. Provide emergency power for the exhaust fan and associated controls. Label ductwork, filter, and fan "COMMUNICABLE DISEASE CONTAMINATED AIR".</t>
  </si>
  <si>
    <t>Note 3 - Air Distribution Layout. (a) Patient Bedroom. Locate the exhaust air inlet over or near the patient bed to ensure that air flows into the room and away from the patient room door. Preferred location of the exhaust air inlet is in the wall, 7 in [175 mm] above the floor, and near the patient head rest. (b) Ante Room. Air shall transfer from the Corridor into the Ante Room and then to the Isolation Room. The Ante Room is positive with respect to the Isolation Room and negative with respect to the Corridor.</t>
  </si>
  <si>
    <t>Note 4 -Toilet Room Total Air Changes Per Hour &amp; Negative Air Balance. 
Unlike other patient room / patient bathroom combinations these bathrooms will only get part of the makeup air from the patient bathroom. Each bathroom shall have its own constant volume temperature control terminal which shall provide enough makeup air to keep the bathroom a minimum of 30% negative relative to the patient room.</t>
  </si>
  <si>
    <t>Note 5 - Additional Information. See room data sheets (RDS) for isolation rooms.</t>
  </si>
  <si>
    <t>BRAR1</t>
  </si>
  <si>
    <t>Isolation Anteroom</t>
  </si>
  <si>
    <t>Isolation Patient Bathroom</t>
  </si>
  <si>
    <t>Note 3 -Toilet Room Total Air Changes Per Hour &amp; Negative Air Balance. Unlike other patient room / patient bathroom combinations these bathrooms will only get part of the makeup air from the patient bathroom.  Each bathroom shall have its own constant volume temperature control terminal which shall provide enough makeup air to keep the bathroom a minimum of 30% negative 
relative to the patient room.</t>
  </si>
  <si>
    <t>Note 4 - Additional Information. See room data sheets (RDS) for isolation rooms.</t>
  </si>
  <si>
    <t>Day Room/Lounge</t>
  </si>
  <si>
    <t>Note 1 - Smoking. Provide a dedicated 100% exhaust system if smoking is permitted in the lounge.</t>
  </si>
  <si>
    <t>Nourishment Kitchen</t>
  </si>
  <si>
    <t>Exhaust (G/S)</t>
  </si>
  <si>
    <t>Note 1 - Exhaust System. Connect exhaust to a common general exhaust system. Provide 100% transfer air for the exhaust from the adjoining space.  Coordinate with equipment to be used - if conditions warrant it provide NFPA 96 kitchen hood exhaust system.</t>
  </si>
  <si>
    <t>Patient Laundry</t>
  </si>
  <si>
    <t>Note 1 - Exhaust System. Provide Dryer Exhaust System.  Coordinate with equipment to be used.</t>
  </si>
  <si>
    <t>Quiet Room</t>
  </si>
  <si>
    <t xml:space="preserve">SPINAL CORD INJURY/DISORDERS CENTER Patient Area </t>
  </si>
  <si>
    <t>Note 1 - Room Temperature Control. Where the room is equipped with folding partitions, provide individual air supply, air return, and room temperature control on either side of the partition.</t>
  </si>
  <si>
    <t>Note 2 - Energy Conservation Initiative. Evaluate the feasibility of using a carbon-dioxide (CO2) and/or occupancy sensor to conserve energy during part load conditions. The control sequence shall be project-specific. Follow requirement in ASHRAE Standard 62.1 - 2016 or latest approved edition.</t>
  </si>
  <si>
    <t>Internet Cafe</t>
  </si>
  <si>
    <t>RAMR1</t>
  </si>
  <si>
    <t>Meditation Room</t>
  </si>
  <si>
    <t>OFD03</t>
  </si>
  <si>
    <t>Patient Education</t>
  </si>
  <si>
    <t>Resident Dining/Serving</t>
  </si>
  <si>
    <t>BTSCI</t>
  </si>
  <si>
    <t>Note 1 - Exhaust System. Provide a dedicated or a common wet exhaust system with welded stainless steel ductwork.</t>
  </si>
  <si>
    <t>Exam/Treatment Room</t>
  </si>
  <si>
    <t>PTWT1</t>
  </si>
  <si>
    <t xml:space="preserve">SPINAL CORD INJURY/DISORDERS CENTER Patient Clinic Area </t>
  </si>
  <si>
    <t>TRGS1</t>
  </si>
  <si>
    <t>SPINAL CORD INJURY/DISORDERS CENTER Patient Clinic Area  - Urodynamics</t>
  </si>
  <si>
    <t>EXUD1</t>
  </si>
  <si>
    <t>XDCY1</t>
  </si>
  <si>
    <t>Cystoscopy</t>
  </si>
  <si>
    <t>Note 1 - Unoccupied Mode. Provide a two-position air terminal unit to deliver 50% supply air during unoccupied mode while maintaining positive air balance.</t>
  </si>
  <si>
    <t>Note 2 - Air Distribution. Provide unidirectional air distribution with overhead supply and floor level return. Locate return air registers at opposite ends at 8 in [200 mm] above the floor.</t>
  </si>
  <si>
    <t>Note 3 - Instrumentation. Provide temperature and relative humidity sensors for trending of indoor design conditions.</t>
  </si>
  <si>
    <t>Instrument Cleaning Room / Storage</t>
  </si>
  <si>
    <t>Note 1 - Exhaust System. Connect the room exhaust to a dedicated or a common general exhaust system and transfer air from the Storage Room and Corridor.</t>
  </si>
  <si>
    <t>Recovery Room</t>
  </si>
  <si>
    <t>DR001</t>
  </si>
  <si>
    <t>Dressing Room/Cubicle</t>
  </si>
  <si>
    <t>Nurse Station</t>
  </si>
  <si>
    <t>Urologist Office</t>
  </si>
  <si>
    <t>UCCL1</t>
  </si>
  <si>
    <t>Outpatient Urodynamics Clinic Clean Utility Room</t>
  </si>
  <si>
    <t>SPINAL CORD INJURY/DISORDERS CENTER Therapy Rooms</t>
  </si>
  <si>
    <t>PTES1</t>
  </si>
  <si>
    <t>Physical Therapy / Kinesiology Therapy</t>
  </si>
  <si>
    <t>OTEV1</t>
  </si>
  <si>
    <t>PT / OT /KT  Occupational Therapy</t>
  </si>
  <si>
    <t>OTDL1</t>
  </si>
  <si>
    <t>Activities of Daily Living</t>
  </si>
  <si>
    <t>Home Environment Learning Bathroom</t>
  </si>
  <si>
    <t>Home Environment Learning Bedroom</t>
  </si>
  <si>
    <t>Note 1 - Bedroom can be served by a common terminal unit if the rooms are located on the same exposure as shown in the SCI Design Guide dated June 2008 with 2011 Revision.</t>
  </si>
  <si>
    <t>Home Environment Learning Kitchen</t>
  </si>
  <si>
    <t>Note 1 - Kitchen. Exhaust room air outdoors if the kitchen equipment or room exhaust has an outdoor air connection.</t>
  </si>
  <si>
    <t>Home Environment Learning Living/Dining</t>
  </si>
  <si>
    <t>Note 1 -   Living/Dining can be served by a common terminal unit if the rooms are located on the same exposure as shown in the SCI Design Guide dated June 2008 with 2011 Revision.</t>
  </si>
  <si>
    <t>Horticulture Therapy</t>
  </si>
  <si>
    <t>Therapeutic Pool</t>
  </si>
  <si>
    <t>Note 1 - Energy Considerations. Provide system with air flow setback capability for operation during un-occupied periods.</t>
  </si>
  <si>
    <t>Note 2 - Exhaust System. Provide 100% exhaust with a dedicated or a common wet exhaust system with welded stainless steel ductwork.  Evaluate the pool water evaporation load and adjust air flows to maintain space relative humidity below 65%.</t>
  </si>
  <si>
    <t>Note 3 - Air Distribution. Direct supply air towards surfaces prone to condensation and located exhaust grills so as not to promote short circuiting of supply.</t>
  </si>
  <si>
    <t>Therapeutic Pool Dressing Room (One male, one female)</t>
  </si>
  <si>
    <t>Note 1 - Air Balance. Transfer air from the adjoining spaces to maintain negative air balance.</t>
  </si>
  <si>
    <t>SPINAL CORD INJURY/DISORDERS CENTER Support Spaces</t>
  </si>
  <si>
    <t>SRLW1</t>
  </si>
  <si>
    <t>Litter Storage</t>
  </si>
  <si>
    <t>Note 1 - Exhaust System. Transfer air from the adjoining spaces to maintain negative air balance.</t>
  </si>
  <si>
    <t>Note 2 - Room Temperature Control. Individual room temperature control is optional. The room can be served by a common air terminal unit with similar load characteristics.</t>
  </si>
  <si>
    <t>Transfer Equipment Storage</t>
  </si>
  <si>
    <t>Note 1 - Exhaust System. Connect exhaust to a general exhaust system serving other spaces. Transfer air from the adjoining spaces to maintain negative air balance.</t>
  </si>
  <si>
    <t>TLTS1</t>
  </si>
  <si>
    <t>Patient (Litter) Bathroom</t>
  </si>
  <si>
    <t>Note 1 - Exhaust System and Temperature Control. Unlike other patient bathroom  these bathrooms will only get part of the makeup air from the exterior space.  Each bathroom shall have its own constant volume temperature control terminal which shall provide enough makeup air to keep the bathroom a minimum of 30% negative relative to the patient room.</t>
  </si>
  <si>
    <t xml:space="preserve">STERILE PROCESSING SERVICE
</t>
  </si>
  <si>
    <t xml:space="preserve">Note 1 - General: The rooms and their relative locations with adjoining spaces are based on information given in the VA Sterile Processing Service Design Guide dated October 1, 2015; VHA Directive 1116 Dated March 23, 2016 and in the VA PG-18-9 Space Planning Criteria Chapter 285 dated March 2008 and revised October 3, 2016.  The design documents must include a space pressure and air flow diagram to indicate all required pressure relationships.  Provide room differential pressure monitoring devices for the following spaces: Decontamination area , Packaging &amp; Preparation area, Clean Workroom &amp; Storage area, Anteroom and Dispatch areas. These devices must be provided at all openings in common walls between these areas and adjacent spaces. </t>
  </si>
  <si>
    <t>STERILE PROCESSING SERVICE  Decontamination Area</t>
  </si>
  <si>
    <t>CSCR1</t>
  </si>
  <si>
    <t>Soiled Transition / Drop Off Ante Room</t>
  </si>
  <si>
    <t>CSPE1</t>
  </si>
  <si>
    <t>PPE Alcove</t>
  </si>
  <si>
    <t>Decontamination Work Area</t>
  </si>
  <si>
    <t>CWSH2</t>
  </si>
  <si>
    <t>Automatic Cart Washer</t>
  </si>
  <si>
    <t>Note 1 - Special Exhaust System. Coordinate exhaust and makeup air from automatic cart washer with the basis of design cart washer system.  Provide with welded stainless steel wet exhaust system.</t>
  </si>
  <si>
    <t>CWSH3</t>
  </si>
  <si>
    <t>Manual Cart Wash</t>
  </si>
  <si>
    <t>Note 1 - Air Terminal Unit. Provide a cooling only dedicated air terminal unit to serve the Manual Equipment Wash room.  Specify this unit as stainless steel construction with copper fins on copper tube chilled water coil.</t>
  </si>
  <si>
    <t>Note 2 - Special Exhaust Systems. Provide a dedicated wet exhaust system to serve this space and the Automatic Cart Washer room.</t>
  </si>
  <si>
    <t>CSWT1</t>
  </si>
  <si>
    <t>Water Treatment and Detergent Storage Room</t>
  </si>
  <si>
    <t>Note 1 - Individual Room Temperature Control. Individual room temperature control of 72 F (22 C) cooling and heating with supply air is required if the space is occupied.</t>
  </si>
  <si>
    <t>JANC2</t>
  </si>
  <si>
    <t>Housekeeping Aides Closet (HAC)</t>
  </si>
  <si>
    <t>STERILE PROCESSING SERVICE  Scope Processing Area</t>
  </si>
  <si>
    <t>CSAR1</t>
  </si>
  <si>
    <t>Scope Processing Anteroom</t>
  </si>
  <si>
    <t>Note 1 - Room Air Balance. Provide supply air from an adjoining air terminal unit, as individual room temperature control is not required. Direct air flow towards interior doors. Do not exhaust air from this room.</t>
  </si>
  <si>
    <t>CSSD1</t>
  </si>
  <si>
    <t>Decontamination Room</t>
  </si>
  <si>
    <t>CSSP1</t>
  </si>
  <si>
    <t>Scope Processing Room</t>
  </si>
  <si>
    <t>CSST1</t>
  </si>
  <si>
    <t>Scope Staging Room</t>
  </si>
  <si>
    <t>STERILE PROCESSING SERVICE  Preparation and Assembly  Area</t>
  </si>
  <si>
    <t>Clean Workroom Instrument Set Assembly</t>
  </si>
  <si>
    <t>SRSP1</t>
  </si>
  <si>
    <t>Sterile Processing Supplies Storage</t>
  </si>
  <si>
    <t>STERILE PROCESSING SERVICE  Sterilization Area</t>
  </si>
  <si>
    <t>Steam Sterilization Area</t>
  </si>
  <si>
    <t>Sterilizer Equipment Room</t>
  </si>
  <si>
    <t>Note 1 - General. Coordinate the canopy hood (generally provided for the capture of vapor) design with the architectural and equipment drawings.</t>
  </si>
  <si>
    <t>CSLT1</t>
  </si>
  <si>
    <t>Low Temp Sterilization Area</t>
  </si>
  <si>
    <t>CSE01</t>
  </si>
  <si>
    <t>ETO Sterilizer Room</t>
  </si>
  <si>
    <t>Note 1 - General. Provide a dedicated exhaust system to serve the ETO Sterilizer Room and abator. See AHU System Data Sheet for details. In most cases the abator will be located in the ETO sterilizer room.</t>
  </si>
  <si>
    <t>Note 2 - Flammable Storage Cabinet. Provide exhaust ventilation through the flammable storage cabinet. The cabinet exhaust shall be connected to the ETO exhaust system. Ensure compliance with NFPA 30 and applicable OSHA Regulations.</t>
  </si>
  <si>
    <t>Note 3 - Alarms and Controls. Provide an alarm panel outside the ETO Sterilizer Room to sound a local alarm and remote alarm at the ECC in the event of loss or interruption of exhaust airflow. Integrate ETO gas leakage alarm with the exhaust system alarm.</t>
  </si>
  <si>
    <t>CSE02</t>
  </si>
  <si>
    <t>ETO Abator Room</t>
  </si>
  <si>
    <t>CHC01</t>
  </si>
  <si>
    <t>Cart Return Area</t>
  </si>
  <si>
    <t>Unloading / Cooling Area</t>
  </si>
  <si>
    <t>Note 1 - General. These areas at the sterilizer unloading area are part of the larger room.  Provide exhaust grills and / or exhaust hoods at the sterilizer loading and unloading ends to capture heat and moisture as directly as possible.</t>
  </si>
  <si>
    <t>CSCG1</t>
  </si>
  <si>
    <t>Clean Steam Generator Equipment</t>
  </si>
  <si>
    <t>STERILE PROCESSING SERVICE  Receiving, Storage and Dispatch Area</t>
  </si>
  <si>
    <t>Vendor Drop-Off / Pick-up Area</t>
  </si>
  <si>
    <t>Dispatch Area</t>
  </si>
  <si>
    <t>Case Cart Dispatch Workstation</t>
  </si>
  <si>
    <t>SRS05</t>
  </si>
  <si>
    <t>Sterile Durables (RMEs) Storage</t>
  </si>
  <si>
    <t>CSCQ1</t>
  </si>
  <si>
    <t>Case Cart Assembly Area</t>
  </si>
  <si>
    <t>SRS04</t>
  </si>
  <si>
    <t>Sterile Consumables (Soft Goods) Storage</t>
  </si>
  <si>
    <t xml:space="preserve">Note 1- Temperature and Humidity Control. Depending on the size and location of the satellite storage it may or may not be possible to achieve the listed temperature and relative humidity conditions.  This will depend on the proximity of an air handling unit with the adequate level of dehumidification and humidification. </t>
  </si>
  <si>
    <t>Note 2- Filtration. Even if temperature and humidity requirements cannot be met, ensure filtration levels meet or exceed the SPS air handling unit requirements.</t>
  </si>
  <si>
    <t>Note 3 - Pressure Control. Due to the small size of satellite storage areas 4 air changes per hour may not be adequate to provide a measurable pressure drop in the room.  The designer shall analyze the room characteristics and increase design air flow as necessary to maintain 0.02 inch water column between the room and the adjoining corridors.</t>
  </si>
  <si>
    <t>STERILE PROCESSING SERVICE  Staff and Administrative Area</t>
  </si>
  <si>
    <t>Sterile Processing Service (SPS) Chief Office</t>
  </si>
  <si>
    <t>Sterile Processing Service (SPS)  Assistant Chief Office</t>
  </si>
  <si>
    <t>Clerical Workstation</t>
  </si>
  <si>
    <t>Note 1 - Room Air Balance. Provide supply air from an adjoining air terminal unit.</t>
  </si>
  <si>
    <t>Staff Training Room</t>
  </si>
  <si>
    <t>RPR01</t>
  </si>
  <si>
    <t>Copier / Office Supply Room</t>
  </si>
  <si>
    <t>Note 1 - Exhaust.  Exhaust if food preparation odors are expected.  Otherwise return.</t>
  </si>
  <si>
    <t>Staff Toilet (male and female)</t>
  </si>
  <si>
    <t>LR002</t>
  </si>
  <si>
    <t>Male Locker / Changing Room</t>
  </si>
  <si>
    <t>Note 1- Room Air Balance. Maintain locker rooms under negative air balance with respect to PPE and positive air balance with respect to the connecting Clean Toilet/Showers - Women.</t>
  </si>
  <si>
    <t>Female Locker / Changing Room</t>
  </si>
  <si>
    <t>TSSU1</t>
  </si>
  <si>
    <t>Male Toilet / Shower</t>
  </si>
  <si>
    <t>Female Toilet / Shower</t>
  </si>
  <si>
    <t xml:space="preserve">SURGICAL SUITE </t>
  </si>
  <si>
    <t>Note 1 - General: The rooms and their relative locations with adjoining spaces are based on information given in the VA Design Guide for the Surgical Service dated April 2016.</t>
  </si>
  <si>
    <t>SURGICAL SUITE General: The rooms and their relative locations with adjoining spaces are based on information given in the VA Design Guide for the Surgical Service dated 
April 2016.</t>
  </si>
  <si>
    <t>RRPR1</t>
  </si>
  <si>
    <t>Pre-Operative Holding / Phase II Recovery Patient Bay</t>
  </si>
  <si>
    <t>Note 1 - Size reheat coils to allow space heating to 86F / 30 C in demand.</t>
  </si>
  <si>
    <t>RRPR2</t>
  </si>
  <si>
    <t>Pre-Operative Holding / Phase II Recovery Patient Room</t>
  </si>
  <si>
    <t>ANCW2</t>
  </si>
  <si>
    <t>Anesthesia Clean Room</t>
  </si>
  <si>
    <t xml:space="preserve">SURGICAL SUITE Operating Rooms.  </t>
  </si>
  <si>
    <t>ORGS1</t>
  </si>
  <si>
    <t>General Operating Room</t>
  </si>
  <si>
    <t>Note 1 - Air Balance. Positive with respect to clean core  during occupied and unoccupied modes of operation.</t>
  </si>
  <si>
    <t>OROS1</t>
  </si>
  <si>
    <t>Orthopedic Operating Room</t>
  </si>
  <si>
    <t>ORCS1</t>
  </si>
  <si>
    <t>Urology / Cystoscopy Operating Room</t>
  </si>
  <si>
    <t>ORCT1</t>
  </si>
  <si>
    <t>Cardiothoracic Operating Room</t>
  </si>
  <si>
    <t>ORHL1</t>
  </si>
  <si>
    <t>Cardiothoracic / Hybrid OR Pump Room</t>
  </si>
  <si>
    <t>ORNS1</t>
  </si>
  <si>
    <t>Neurosurgical Operating
 Room</t>
  </si>
  <si>
    <t>ORRB1</t>
  </si>
  <si>
    <t>Robotics Operating Room</t>
  </si>
  <si>
    <t>ORTR1</t>
  </si>
  <si>
    <t>Transplant Operating Room</t>
  </si>
  <si>
    <t>ORHY1</t>
  </si>
  <si>
    <t>Monoplane Hybrid Operating Room</t>
  </si>
  <si>
    <t>Note 2 - Diffusers. Use only laminar flow diffusers in this room.</t>
  </si>
  <si>
    <t>Note 3 - Sterile Field. Carefully design large sterile field to keep velocity low enough to preclude the possibility of turbulent flow over the imaging equipment gantry.  Mechanical engineer is responsible for maintaining sterile flow aseptic field and minimizing turbulence.</t>
  </si>
  <si>
    <t>ORHY2</t>
  </si>
  <si>
    <t>Biplane Hybrid Operating Room</t>
  </si>
  <si>
    <t>ORHC1</t>
  </si>
  <si>
    <t>Hybrid OR Control Room</t>
  </si>
  <si>
    <t>XCCE1</t>
  </si>
  <si>
    <t>Cardiac Catheterization Laboratory</t>
  </si>
  <si>
    <t>XCEP1</t>
  </si>
  <si>
    <t>Electrophysiology Procedure Room</t>
  </si>
  <si>
    <t>TRTE1</t>
  </si>
  <si>
    <t>Transesophageal Echocardiograph (TEE) Procedure Room</t>
  </si>
  <si>
    <t>TRTE2</t>
  </si>
  <si>
    <t>TEE Probe Decontamination Room</t>
  </si>
  <si>
    <t>Note 1 - Air Balance. Negative to Semi-Restricted Corridor during occupied and unoccupied modes of operation.</t>
  </si>
  <si>
    <t>TRTE3</t>
  </si>
  <si>
    <t>Clean TEE Probe Storage</t>
  </si>
  <si>
    <t>ORSR1</t>
  </si>
  <si>
    <t>Immediate Use Sterilization Room</t>
  </si>
  <si>
    <t>Note 1 - Room Exhaust. Transfer room air to the Sterilizer Equipment Room and connect to the general exhaust system. This room is positive with respect to the equipment room.</t>
  </si>
  <si>
    <t>RRBP1</t>
  </si>
  <si>
    <t>Phase I Recovery PACU Patient Bay</t>
  </si>
  <si>
    <t>Note 1 - Room Temperature Control. Size the terminal reheat coil to maintain 86 F [30 C] room temperature on demand.</t>
  </si>
  <si>
    <t>Note 2 - Filtration Requirements. For PACUs  not served by the Surgical Suite AHU, provide terminal HEPA filters on the downstream side of each air terminal unit otherwise use same filtration used in OR.  See Surgical AHU filtration notes.</t>
  </si>
  <si>
    <t>RRIR1</t>
  </si>
  <si>
    <t>Airborne Infection Isolation (AII) Phase I Recovery PACU Patient Room</t>
  </si>
  <si>
    <t>Note 1 - General. See Airborne Infection Isolation (AII) room data sheets for additional  requirements for the AII room and the anteroom.</t>
  </si>
  <si>
    <t>LBUL1</t>
  </si>
  <si>
    <t>Frozen Section Laboratory</t>
  </si>
  <si>
    <t>USCL7</t>
  </si>
  <si>
    <t>Surgical Soiled Utility Room</t>
  </si>
  <si>
    <t>Note 1 - Room Exhaust. Transfer air from the adjoining spaces for exhaust.</t>
  </si>
  <si>
    <t>Clean Core</t>
  </si>
  <si>
    <t>Note 1 - Air Balance. Negative with respect to the Operating and Cystoscopy Rooms during occupied and unoccupied modes of operation.</t>
  </si>
  <si>
    <t>Gas Cylinder Storage Room</t>
  </si>
  <si>
    <t>Note 1 - Room Exhaust. Transfer air from adjoining spaces for exhaust. Do not supply air under positive air pressure.</t>
  </si>
  <si>
    <t>Heart Lung Machine Preparation</t>
  </si>
  <si>
    <t>Nerve Block Induction Room</t>
  </si>
  <si>
    <t>Note 1 - Room Air Balance. Positive during occupied and unoccupied modes of operation.</t>
  </si>
  <si>
    <t>Plaster Splint Storage</t>
  </si>
  <si>
    <t>Radiographic Film Processing Room</t>
  </si>
  <si>
    <t>Note 1 - Room Air Return. Return air is not permitted if chemicals are used in film processing.</t>
  </si>
  <si>
    <t>Semi-Restricted Corridor</t>
  </si>
  <si>
    <t>Note 1 - Room Air Balance. Maintain negative air balance with respect to the Operating and Cystoscopy Rooms and positive to other adjoining spaces.</t>
  </si>
  <si>
    <t>Sub-Sterile Room</t>
  </si>
  <si>
    <t>Veterinary Medical Unit (VMU)</t>
  </si>
  <si>
    <t xml:space="preserve">
VMU Female Staff Shower, Bldg Sprt</t>
  </si>
  <si>
    <t xml:space="preserve">
VMU Male Staff Shower, Bldg Sprt</t>
  </si>
  <si>
    <t xml:space="preserve">
VMU Female Staff Toilet, Bldg Sprt</t>
  </si>
  <si>
    <t xml:space="preserve">
VMU Male Staff Toilet, Bldg Sprt</t>
  </si>
  <si>
    <t>VMU Housekeeping Aides Closet (HAC), Bldg Sprt</t>
  </si>
  <si>
    <t>SB522</t>
  </si>
  <si>
    <t>VMU Breakdown Room, Lgstcs Svc</t>
  </si>
  <si>
    <t>SB531</t>
  </si>
  <si>
    <t>VMU Staging Room, Lgstcs Svc</t>
  </si>
  <si>
    <t xml:space="preserve">79
</t>
  </si>
  <si>
    <t>SB684</t>
  </si>
  <si>
    <t>VMU Loading Dock, Lgstcs Svc</t>
  </si>
  <si>
    <t>SC741</t>
  </si>
  <si>
    <t>VMU General Procedure / Treatment Room, R&amp;D</t>
  </si>
  <si>
    <t>Note 1 - Exhaust Air. Pick-Up. Collect room exhaust air at approximately 7 in [175 mm] above the floor level through 1 in [25 mm] thick, MERV 6 filter grille.</t>
  </si>
  <si>
    <t>SC747</t>
  </si>
  <si>
    <t>VMU Irradiator Room, R&amp;D</t>
  </si>
  <si>
    <t>SC748</t>
  </si>
  <si>
    <t>VMU Diagnostic Laboratory, R&amp;D</t>
  </si>
  <si>
    <t>Note 1 - Room Exhaust. Coordinate exhaust with equipment, such as, fume hoods and/or Biological Safety Cabinets.</t>
  </si>
  <si>
    <t>SC751</t>
  </si>
  <si>
    <t>VMU Surgical Preparation Room, R&amp;D</t>
  </si>
  <si>
    <t>Note 1 - Room Air Balance. While maintaining negative air balance with respect to the adjoining operating rooms, adjust exhaust air volume as required.</t>
  </si>
  <si>
    <t>SC752</t>
  </si>
  <si>
    <t>VMU Operating Room (OR), R&amp;D</t>
  </si>
  <si>
    <t>SC753</t>
  </si>
  <si>
    <t>VMU Recovery Room, R&amp;D</t>
  </si>
  <si>
    <t>Note 1 - Room Temperature Adjustment. Size the reheat coil to maintain higher space temperature on demand.</t>
  </si>
  <si>
    <t>SC754</t>
  </si>
  <si>
    <t>VMU Gown / Scrub Room, R&amp;D</t>
  </si>
  <si>
    <t>SC755</t>
  </si>
  <si>
    <t>VMU Workroom, R&amp;D</t>
  </si>
  <si>
    <t>Note 1 - Room Exhaust. Draw exhaust air over the sterilizer hood. Adjust supply air volume to meet the exhaust needs.</t>
  </si>
  <si>
    <t>SC756</t>
  </si>
  <si>
    <t>VMU Surgical Supply Storage Room, R&amp;D</t>
  </si>
  <si>
    <t>SC761</t>
  </si>
  <si>
    <t>VMU Imaging / Behavioral Study Preparation Room, R&amp;D</t>
  </si>
  <si>
    <t>Note 1 - Room Temperature. Adjust temperature setpoint to match the range appropriate for the animal  species being studied. Refer to AAALAC - Guide for the Care and Use of Laboratory Animals.</t>
  </si>
  <si>
    <t>SC762</t>
  </si>
  <si>
    <t>VMU Imaging / Behavioral Study Animal Holding Room, R&amp;D</t>
  </si>
  <si>
    <t>SC763</t>
  </si>
  <si>
    <t>VMU Behavioral Study Room, R&amp;D</t>
  </si>
  <si>
    <t>Note 1 - Exhaust Air Pick-Up. Provide exhaust air inlets at base corners and center the ceiling supply outlet in each cubical to ensure uniform air distribution.</t>
  </si>
  <si>
    <t>Note 2 - Room Temperature. Adjust temperature setpoint within the range appropriate for the animal  species being studied. Refer to AAALAC - Guide for the Care and Use of Laboratory Animals.</t>
  </si>
  <si>
    <t>SC764</t>
  </si>
  <si>
    <t>VMU Imaging Study Room, R&amp;D</t>
  </si>
  <si>
    <t>SC771</t>
  </si>
  <si>
    <t>VMU Small Animal Holding Room, R&amp;D</t>
  </si>
  <si>
    <t>SC772</t>
  </si>
  <si>
    <t>VMU Behavioral / Metabolic Studies Small Animal Holding Room, R&amp;D</t>
  </si>
  <si>
    <t>SC773</t>
  </si>
  <si>
    <t>VMU BSL-2 Small Animal Holding Room, R&amp;D</t>
  </si>
  <si>
    <t>SC774</t>
  </si>
  <si>
    <t>VMU BSL-2 Small Animal Anteroom, R&amp;D</t>
  </si>
  <si>
    <t>SC775</t>
  </si>
  <si>
    <t>VMU Large Animal Holding Room, R&amp;D</t>
  </si>
  <si>
    <t>Note 1 - Exhaust Air. Pick-Up. Provide exhaust air inlets at base corners and center the ceiling supply outlet in each cubical to ensure uniform air distribution.</t>
  </si>
  <si>
    <t>Note 2 - Room Temperature. Adjust temperature setpoint to match the range appropriate for the animal species being studied. Refer to AAALAC - Guide for the Care and Use of Laboratory Animals.</t>
  </si>
  <si>
    <t>SC778</t>
  </si>
  <si>
    <t>VMU Small Animal Quarantine Holding Room, R&amp;D</t>
  </si>
  <si>
    <t>Note 1 - Room Air Distribution. Coordinate supply and exhaust air distribution with the Quarantine Room layout. Provide multiple exhaust air grilles over each quarantine area.</t>
  </si>
  <si>
    <t>SC779</t>
  </si>
  <si>
    <t>VMU Large Animal Quarantine Holding Room, R&amp;D</t>
  </si>
  <si>
    <t>SC781</t>
  </si>
  <si>
    <t>VMU Necropsy Room, R&amp;D</t>
  </si>
  <si>
    <t>Note 1 - Exhaust Coordination. Coordinate exhaust over the trimming and necropsy tables.</t>
  </si>
  <si>
    <t>SC791</t>
  </si>
  <si>
    <t>VMU Soiled Cage Room, R&amp;D</t>
  </si>
  <si>
    <t>Note 1 - Wet Exhaust. System. Provide a dedicated wet exhaust system to serve the Cage Washer Room and Cage Wash Room (with Tunnel Washer Room).</t>
  </si>
  <si>
    <t>SC792</t>
  </si>
  <si>
    <t>VMU Cagewash Equipment Room, R&amp;D</t>
  </si>
  <si>
    <t>SC793</t>
  </si>
  <si>
    <t>VMU Clean Cage Room, R&amp;D</t>
  </si>
  <si>
    <t>SC794</t>
  </si>
  <si>
    <t>VMU Sterilizer Equipment Room, R&amp;D</t>
  </si>
  <si>
    <t>SC797</t>
  </si>
  <si>
    <t>VMU Cagewash Detergent Storage Room, R&amp;D</t>
  </si>
  <si>
    <t>Note 1 - Room Exhaust. Collect exhaust through the hood over the sterilizer.</t>
  </si>
  <si>
    <t>SC798</t>
  </si>
  <si>
    <t>VMU Bedding Storage Room, R&amp;D</t>
  </si>
  <si>
    <t>SC799</t>
  </si>
  <si>
    <t>VMU Animal Food Preparation Room, R&amp;D</t>
  </si>
  <si>
    <t>Note 1 - Room Exhaust. Transfer air from the adjoining space for exhaust. Do not provide supply air.</t>
  </si>
  <si>
    <t>SC801</t>
  </si>
  <si>
    <t>VMU Receiving Room, R&amp;D</t>
  </si>
  <si>
    <t>Note 1 - Exhaust Air Pick-Up. Collect room exhaust air at approximately 7 in [175 mm] above the floor level through 1 in [25 mm] thick, MERV 6 filter grille.</t>
  </si>
  <si>
    <t>SC802</t>
  </si>
  <si>
    <t>VMU Laundry Room, R&amp;D</t>
  </si>
  <si>
    <t>SC803</t>
  </si>
  <si>
    <t>VMU General Storage Room, R&amp;D</t>
  </si>
  <si>
    <t>SC804</t>
  </si>
  <si>
    <t>VMU Carcass Freezer Room, R&amp;D</t>
  </si>
  <si>
    <t>Note 1 - Room Exhaust. Maintain double negative air balance by drawing all transfer air from the adjoining space.</t>
  </si>
  <si>
    <t>SC805</t>
  </si>
  <si>
    <t>VMU Waste Room, R&amp;D</t>
  </si>
  <si>
    <t>SC806</t>
  </si>
  <si>
    <t>VMU Food Storage Room, R&amp;D</t>
  </si>
  <si>
    <t>Note 1 - Room Exhaust. Provide transfer air through ducted ceiling connection. Provide a dedicated refrigeration unit.</t>
  </si>
  <si>
    <t>VMU Veterinarian Office, Stff Sprt</t>
  </si>
  <si>
    <t>SS205</t>
  </si>
  <si>
    <t>VMU Supervisor Office, Stff Sprt</t>
  </si>
  <si>
    <t>VMU Veterinary Research Associate Workstation, Stff Sprt</t>
  </si>
  <si>
    <t xml:space="preserve">
VMU Female Staff Locker Room, Stff Sprt</t>
  </si>
  <si>
    <t xml:space="preserve">
VMU Male Staff Locker Room, Stff Sprt</t>
  </si>
  <si>
    <t xml:space="preserve">
VMU Staff Breakroom, Stff Sprt
</t>
  </si>
  <si>
    <t>Note 1 - Room Air. Return air is permitted if the lounge is not equipped with vending machines, microwave, refrigerator, etc., otherwise follow requirements in ASHRAE Standard 62.1</t>
  </si>
  <si>
    <t>VMU Copy / Supply Room, Stff Sprt</t>
  </si>
  <si>
    <t>Note 1 - Usage. Copy/Printing Room (Small) is a local room serving a single department only, with no more than 2 machines.</t>
  </si>
  <si>
    <t>Note 2 - Conditioning. Conditioned air is drawn from other areas to ventilate the room and reduce the heat load.</t>
  </si>
  <si>
    <t xml:space="preserve">
VMU Huddle Room, Stff Sprt</t>
  </si>
  <si>
    <t xml:space="preserve">Note 1 - Energy Conservation Initiative. Evaluate the feasibility of using a carbon-dioxide (CO2) and/or occupancy sensors to conserve energy during part load conditions. The control sequence shall be
project-specific. Follow requirements in ASHRAE Standard 62.1 </t>
  </si>
  <si>
    <t xml:space="preserve">NON PATIENT ROOMS - SUPPORT AREAS </t>
  </si>
  <si>
    <t>Admission</t>
  </si>
  <si>
    <t>Barber Shop</t>
  </si>
  <si>
    <t>Note 1 - Exhaust Requirements. Per ASHRAE 62.1 - 2016 (or latest approved edition),, the barber shop should be exhausted at the rate of 0.5 cfm/sf [2.5 L/s/m2], while returning the remaining air, if any.</t>
  </si>
  <si>
    <t>Chapel</t>
  </si>
  <si>
    <t>Note 1 - Dedicated Air-Handling Unit. For chapels requiring 5,000 cfm [2,360 L/s] and higher supply air volume, provide a dedicated air-handling unit to facilitate energy conservation initiatives.</t>
  </si>
  <si>
    <t>Class Room</t>
  </si>
  <si>
    <t>Note 1 - Energy Conservation Initiative. Evaluate the feasibility of using a carbon-dioxide (CO2 ) and/or occupancy sensors to conserve energy during part load conditions. The control sequence shall be project-specific.  Follow requirements in ASHRAE Standard 62.1 - 2016 or the latest approved edition.</t>
  </si>
  <si>
    <t>Note 1 - Energy Conservation Initiative. Evaluate the feasibility of using a carbon-dioxide (CO2) and/or occupancy sensors to conserve energy during part load conditions. The control sequence shall be project-specific. Follow requirements in ASHRAE Standard 62.1 - 2016 or the latest approved edition.</t>
  </si>
  <si>
    <t>Corridors</t>
  </si>
  <si>
    <t>Dressing Room</t>
  </si>
  <si>
    <t>Note 1 - Room Supply. Supply air from an adjoining air terminal unit with similar load characteristics.</t>
  </si>
  <si>
    <t>Gift Shop (Retail Store)</t>
  </si>
  <si>
    <t>Library</t>
  </si>
  <si>
    <t>(O)</t>
  </si>
  <si>
    <t>Locker Room (with Toilets)</t>
  </si>
  <si>
    <t>Locker Room (without Toilets)</t>
  </si>
  <si>
    <t>Note 1 - Room Air Balance. Maintain locker rooms under negative air balance with respect to the adjoining spaces.</t>
  </si>
  <si>
    <t xml:space="preserve">Lounge
</t>
  </si>
  <si>
    <t>NON PATIENT ROOMS - SUPPORT AREAS  Medical Media Service</t>
  </si>
  <si>
    <t>Audio Visual Storage/Checkout</t>
  </si>
  <si>
    <t>Camera Copy</t>
  </si>
  <si>
    <t>Client Review Room</t>
  </si>
  <si>
    <t>Computer Imaging System Network</t>
  </si>
  <si>
    <t>Darkroom (Printing/Enlarging)</t>
  </si>
  <si>
    <t>Note 1 - Darkroom (Printing/Enlarging) and Photo Finishing. Exhaust room air if chemicals are used for film processing.</t>
  </si>
  <si>
    <t>Expanded Core - Illustration Room</t>
  </si>
  <si>
    <t>Expanded Core - Stat Camera</t>
  </si>
  <si>
    <t>Photo Finishing</t>
  </si>
  <si>
    <t>Photo Studio/Audio Visual Recording</t>
  </si>
  <si>
    <t>Photomicrography</t>
  </si>
  <si>
    <t>Video Editing CCTV Control Room</t>
  </si>
  <si>
    <t>Medical Records</t>
  </si>
  <si>
    <t>Note 1 - Energy Conservation Initiative. Evaluate the feasibility of using a carbon-dioxide (CO2) and/or occupancy sensors to conserve energy during part load conditions. The control sequence shall be
project-specific.  Follow requirements in ASHRAE Standard 62.1 - 2016 or the latest approved edition.</t>
  </si>
  <si>
    <t>Note 2 - Folding Partitions. Where the room is equipped with folding partitions, provide individual room temperature control, supply diffusers and returns grills on both sides of the partition.</t>
  </si>
  <si>
    <t>Pool Dressing/Toilet/Shower - Male/Female</t>
  </si>
  <si>
    <t>Toilets - Public (Interior)</t>
  </si>
  <si>
    <t>Toilets - Public (Perimeter)</t>
  </si>
  <si>
    <t>Note 1 - Perimeter Heating. For toilets with an exterior wall subject to heat loss, provide thermostatically-controlled (closed-loop, local control) terminal heater(s) to maintain set point.</t>
  </si>
  <si>
    <t>Waiting Rooms</t>
  </si>
  <si>
    <t>Note 1  - General. See below for waiting rooms in emergency department and radiology waiting rooms.</t>
  </si>
  <si>
    <t>Waiting Rooms in Emergency Department and In Radiology</t>
  </si>
  <si>
    <t>Note 1  - General. The 100% exhaust requirement applied to Emergency Department Waiting Rooms and to Radiology Waiting Rooms programmed to hold patients who are waiting for chest X-rays for diagnosis of respiratory disease.</t>
  </si>
  <si>
    <t xml:space="preserve">Note 2  - Alternative Design. Per ASHRAE Standard 170 - 2013  (or latest approved edition) the design may use HEPA filtration in lieu of 100% exhaust.   </t>
  </si>
  <si>
    <t>NON PATIENT ROOMS - MISCELLAENOUS AREAS</t>
  </si>
  <si>
    <t>Attic Space</t>
  </si>
  <si>
    <t>Note 1 - Heating System. Provide a thermostatically controlled (closed-loop, local control) heating system utilizing terminal unit heaters or a central heating system. Ensure uniform heat distribution. Minimum outdoor ACH is not required in heating mode. The ventilation system shall be inoperative when the heating system is enabled.</t>
  </si>
  <si>
    <t>Note 2 - Ventilation System.  Provide an exhaust ventilation system (closed-loop, local control either thermostatically or manually operated) to prevent excessive heat build up. The exhaust ventilation system shall consist of exhaust fan(s) and exhaust/intake air louvers with motorized dampers. Provide direct-drive fan(s) to reduce maintenance. If a central, supply air heating system (Note 1) is the selected option, exhaust (relief) arrangement shall be compatible with the central heating system.</t>
  </si>
  <si>
    <t>Note 3 - Access. Coordinate access to the mechanical equipment with the architectural discipline.</t>
  </si>
  <si>
    <t>Audiology Instrument Calibration and Repair Shop</t>
  </si>
  <si>
    <t>Battery Charging Room</t>
  </si>
  <si>
    <t>Note 1 - Special Exhaust System.  Provide a dedicated, special exhaust system where lead batteries (Automatic Transport System and Wheel Chairs Charging Areas) are charged. Exhaust system is not required where Ni-Cad batteries are charged. Provide a spark-proof construction exhaust fan, explosion-proof motor, and welded stainless steel ductwork. Provide emergency power for the fan motor. Provide local and remote (at ECC) alarm capabilities for fan status and airflow interruption.</t>
  </si>
  <si>
    <t>Biomedical Instrument Repair Shop</t>
  </si>
  <si>
    <t>Note 1 - Dedicated Exhaust System. (a)  Provide a dedicated exhaust system where chemicals, such as, xylene and iodine are used. Evaluate the use of a canopy hood or a general purpose fume hood. The system start can be manually operated by a fan switch or automatically operated by remote DDC controls. (b)   Provide a spark-proof construction exhaust fan with bearings mounted outside the exhaust air stream and an explosion-proof motor on emergency power. (c)   Provide local and remote alarms in the event of fan failure or exhaust airflow interruption. (d)   Provide an airflow control valve in the exhaust air duct to ensure constant exhaust airflow.</t>
  </si>
  <si>
    <t>Note 2 - Alternate Return Air Pick-Up. Provide an alternate return air connection with a motorized damper when the exhaust fan is not in use.</t>
  </si>
  <si>
    <t>Clean Utility/Storage Room</t>
  </si>
  <si>
    <t>Note 2 - Logistics Service Storage Rooms: (a) For Logistics Service Sterile Consumables (Soft Goods) Storage requirements refer to SRS04: Sterile Consumables (Soft Goods) Storage in Sterile Processing Service Room Data Sheets. (b) For Logistics Service Storage Rooms with non-sterile materials, provide proper room conditions based on the actual materials stored.</t>
  </si>
  <si>
    <t>Computer Lab Room</t>
  </si>
  <si>
    <t>Copy/Printing Room (Large)</t>
  </si>
  <si>
    <t>Copy/Printing Room (Small)</t>
  </si>
  <si>
    <t>Crawl Space (Pipe Basement)</t>
  </si>
  <si>
    <t>Note 1 - Compliance. This space shall comply with PG-18-3 (Design and Construction Procedures), Topic 5 - Pipe Basements, available in the VA Technical Information Library.</t>
  </si>
  <si>
    <t>Note 2 - Exhaust Ventilation System.  Provide a thermostatically-controlled (closed-loop, local control), or manually-operated, exhaust system to minimize excessive heat build-up. The system shall consist of an exhaust fan(s), exhaust air louver, intake louver, and motorized intake and exhaust air dampers (two-position, open/close type). Select a direct-drive exhaust fan to minimize maintenance.</t>
  </si>
  <si>
    <t>Note 3 - Heating System. Provide thermostatically-controlled (closed-loop, local control) terminal heaters to ensure uniform heat distribution. The ventilation system shall be inoperative when the heating system is enabled.</t>
  </si>
  <si>
    <t xml:space="preserve">NON PATIENT ROOMS - MISCELLAENOUS AREAS - Electrical Room </t>
  </si>
  <si>
    <t>Electrical Equipment Closets without Internal Heat Gain</t>
  </si>
  <si>
    <t>Note 1 - HVAC. Electrical closets without internal heat gain do not require HVAC.</t>
  </si>
  <si>
    <t>Satellite and Main Electrical Rooms with Internal Heat Gain</t>
  </si>
  <si>
    <t>Note 1 - Equipment Heat Gain. Estimate transformer heat dissipation at the rate of 3% of the anticipated actual peak demand. Do not use the rated nameplate capacity for equipment heat gain.</t>
  </si>
  <si>
    <t>Note 2 - Mechanical Cooling. (a)  Provide a dedicated mechanical cooling unit using chilled water or refrigerant direct expansion (DX) as the cooling medium. Cooling shall be available on demand. (b)  Use economizer cycle (ASHRAE Standard 90.1 - 2019 or latest approved version) or exhaust ventilation in mild weather. (c)  Provide minimum outdoor air (ASHRAE Standard 62.1 - 2016 or latest approved version) in the mechanical cooling mode. (d)  Avoid installing mechanical cooling units within the electrical room to prevent possible damage due to water leakage and/or overflow of condensate drain pans.</t>
  </si>
  <si>
    <t>Note 3 - Heating. Provide thermostatically-controlled heating system only if the space heat gain cannot offset the design heat loss.</t>
  </si>
  <si>
    <t>Note 4 - Controls. Provide a DDC sensor to monitor the space temperature and initiate local and remote alarms in the event the space temperature exceeds 95 F [35 C]. DDC sensor for monitoring and alarm is required with local control loop.</t>
  </si>
  <si>
    <t>Elevator Machine Room</t>
  </si>
  <si>
    <t>Note 1 - Equipment Heat Gain. Coordinate equipment heat dissipation with the elevator equipment manufacturer.</t>
  </si>
  <si>
    <t>Note 2 - Mechanical Cooling Unit. (a)  Provide dedicated, thermostatically-controlled mechanical cooling. Use chilled water or direct-expansion (DX) or a dedicated air terminal unit from a nearby air- handling unit in use year-round. (b)   Avoid installation of the chilled-water or DX mechanical cooling units within the elevator machine room to prevent possible damage due to water leakage and/or overflowing of the condensate drain pans.</t>
  </si>
  <si>
    <t>Note 3 - Controls. Provide a DDC sensor to monitor the space temperature and initiate local and remote alarms in the event the space temperature exceeds 95 F [35 C]. DDC sensor for monitoring and alarm is required with local control loop.</t>
  </si>
  <si>
    <t>Engineering Control Center Room</t>
  </si>
  <si>
    <t>Note 1 - HVAC Unit. Provide a dedicated HVAC unit to provide cooling and heating as required using available sources, such as, chilled water, steam or hot water, or a DX cooling unit.</t>
  </si>
  <si>
    <t>Engineering Shops (Maintenance)</t>
  </si>
  <si>
    <t>Note 1 - General. The engineering shops include Carpentry Shop, Electrical Shop, Machine Shop, Paint Shop, Plumbing Shop, and Welding Shop. HVAC requirements and design approach for the shops differ based on the site location (high-humidity or low-humidity) and the specific program requirements.</t>
  </si>
  <si>
    <t>Note 2 - Room Temperature Control. Provide individual room temperature control for the shops served by mechanical cooling and/or heating systems. Provide mechanical cooling for high-humidity locations and evaluate the use of 100% outdoor air for ventilation for low-humidity locations.</t>
  </si>
  <si>
    <t>Note 3 - Welding Shop. Provide a dedicated exhaust system for the welding shop.</t>
  </si>
  <si>
    <t>Note 4 - Paint Shop. For the paint shop, a dedicated exhaust ventilation system may be required to dilute the paint shop fumes. Coordinate with the paint booth supplier if a packaged, dedicated ventilation system is furnished by the paint booth supplier.</t>
  </si>
  <si>
    <t>Exterior Stairs</t>
  </si>
  <si>
    <t>Note 1 - Heating. Provide a dedicated, thermostatically-controlled terminal heater with closed-loop, non-DDC temperature control.</t>
  </si>
  <si>
    <t>Housekeeping Aid Closet (HAC)</t>
  </si>
  <si>
    <t>Loading Dock</t>
  </si>
  <si>
    <t>Maintenance Garages</t>
  </si>
  <si>
    <t>Note 1 - Ventilation (100% Outdoor Air). Provide a ventilation system complete with fan(s), exhaust and/or supply, and air inlet and outlet connections equipped with motorized dampers. Size and select the system to move air at the rate of 1.5 cfm/sf [7.6 L/s/m2].</t>
  </si>
  <si>
    <t>Note 2 - Heating. Provide thermostatically-controlled heat delivered either by the supply air system or individual air terminal units. During heating mode, reduce the outdoor air to minimum as mandated by ASHRAE Standard 62.1-2016 or latest approved edition and other applicable documents.</t>
  </si>
  <si>
    <t xml:space="preserve">NON PATIENT ROOMS - MISCELLAENOUS AREAS - Mechanical Equipment Room </t>
  </si>
  <si>
    <t>Air Handling Equipment Rooms</t>
  </si>
  <si>
    <t>Note 1 - HVAC (All Locations). Provide a dedicated supply air takeoff (from the air-handling unit located in the MER) to circulate conditioned air at 0.5 cfm/sf [2.5 L/s/m2]. Circulated air can be returned back to the unit. Thermostatically-controlled terminal heater may be required to maintain the winter set point, where the AHU is not in operation round- 
the-clock.</t>
  </si>
  <si>
    <t>Heating Rooms</t>
  </si>
  <si>
    <t>Note 1 - Heating Rooms. Heating Rooms are the designated mechanical equipment rooms where steam enters the building for space heating, domestic hot water production, process heating, etc. The Heating Room is equipped with heat exchangers, PRV stations, circulating pumps, and other steam and hot water specialties.</t>
  </si>
  <si>
    <t>Note 2 - High Humidity Locations. (a)  HVAC Systems. Provide mechanical cooling, during peak summer season, by a thermostatically-controlled, dedicated chilled water or direct-expansion (DX) unit. The room can also be served by a thermostatically-controlled, air terminal unit from a nearby air-handling unit in operation round-the-clock. (b)   Heating Requirement. Verify the need for heating. Generally heating is not required as the heat produced within the space is sufficient enough to maintain above freezing temperatures.</t>
  </si>
  <si>
    <t xml:space="preserve">Note 3 - All Other Locations. (a)  Ventilation Option. For low-humidity (dry) locations, in mild weather, exhaust and/or supply air ventilation system can be used to keep the space temperature below 86 F [30 C]. The 
system shall consist of fans, inlet and outlet connections with motorized dampers, ductwork, and thermostatic controls. If using this option, increase minimum total ACH to 10. (b)   Mechanical Cooling. Provide mechanical cooling, during peak summer season, by a thermostatically-controlled, dedicated chilled water or DX unit. The room can also be served by a thermostatically-controlled, air terminal unit from a nearby air-handling unit in operation round-the-clock.  (c)  Heating. Verify the need for heating. Generally heating is not required as the heat produced within the space is sufficient enough to maintain above freezing temperatures. </t>
  </si>
  <si>
    <t>Refrigeration Equipment Rooms</t>
  </si>
  <si>
    <t>Reagent Grade Water Treatment Room</t>
  </si>
  <si>
    <t>Soiled Utility and Storage Room</t>
  </si>
  <si>
    <t>Standby Generator Room</t>
  </si>
  <si>
    <t>Note 1 - Design Requirements. Design requirements listed above are for when the engine is not operating.  During engine operation, exhaust air is required and room air balance is negative. During operation, room temperature shall not exceed maximum ambient temperature recommended by engine manufacturer.</t>
  </si>
  <si>
    <t>Note 2 - Damper Requirements. Provide motorized dampers for all louvers. Dampers shall fail-open on loss of power.</t>
  </si>
  <si>
    <t>Note 3 - Analysis Requirement. (a)  Submit a detailed analysis showing all options and systems selected to provide proper ventilation and cooling of the standby generator space. (b)  Numerous design considerations must be included in the analysis. Once the size of the generator plant has been determined and the number of units selected then various manufacturers shall be consulted to ascertain the range of heat rejection from the various components. See Figure 6-1, Standby Generator Room, for the average heat rejection values. Assuming the prime movers are reciprocating diesel engines, consideration shall be given to the required radiator flow rates when the unit is naturally aspirated, turbocharged or is a lean burn unit. Airflow rates required for unit mounted radiators can vary substantially from one type to another and manufacturer to manufacturer.</t>
  </si>
  <si>
    <t>Note 4 - Configuration Options. a)  The electrical equipment including the generator and onboard or nearby electrical equipment can be specified for wet locations, or remote radiators can be used thereby drastically reducing the louver area requirement. (b)  A system with a mix of unit mounted radiators and remote units can be proposed. (c)  The analysis shall compare unit mounted radiators to remote radiators. The analysis shall include cost of louvers and control devices. Louvers in areas prone to hurricanes or wind-debris hazards shall be meet the following Florida Building Code tests: Uniform Static Air Pressure Test, Cyclic Wind Pressure Test, Large Missile Impact Test, and Wind Driven Rain Resistance Test for Dry Areas, Enclosed. (d)  A separate detailed acoustic analysis shall be submitted for the final design of the standby generator facility.</t>
  </si>
  <si>
    <t>Note 5 - Design Considerations. (a)  The switchgear and control rooms shall be fully air-conditioned. If remote radiators are used and only minimal louvers are required for combustion air  ventilation, consideration should be given to air conditioning the engine bay.  The louvers are fitted with electrically controlled actuators to open as needed. Do not provide air conditioning during operation of the generator. (b)  If remote radiators are used, consideration of glycol addition to the system is required in freezing areas. (c)  Engine exhaust must be safely conveyed from the engine through the piping and any auxiliary equipment to the atmosphere within allowable pressure drops. (d)  Maintain separate exhaust for each engine. Provide individual silencers or mufflers for each exhaust system. (e)  Exhaust systems shall use welded tube turns with radius of 4 pipe minimum diameters. (f)  See VA Master Specification 26 32 13 ENGINE GENERATORS for additional information.</t>
  </si>
  <si>
    <t>Trash Collection Room</t>
  </si>
  <si>
    <t>Note 1 - Exhaust System. Provide a dedicated general exhaust system, if a common general exhaust system is not available in the vicinity. Exhaust system shall be manually operated and shall run continuously.</t>
  </si>
  <si>
    <t>Note 2 - Heating. Provide a thermostatically-controlled heating system if wet sprinkler piping and/or any other building service piping passes through the room.</t>
  </si>
  <si>
    <t>Vestibules</t>
  </si>
  <si>
    <t>Note 2 - Space Pressurization. Supply 1.0 cfm/sf [5.1 L/s/m2] air under positive pressure from an adjoining air terminal unit serving the lobby to maintain positive air pressure by allowing air to ex- filtrate outdoors.</t>
  </si>
  <si>
    <t>Walk-in Refrigerator and Freezers</t>
  </si>
  <si>
    <t>Note 1 - Specifications. Coordinate equipment installation and design with the VA Master Specifications and Standard Details. Revised specifications are: Walk-In Coolers and Freezers - Section 11 41 21, Laboratory Refrigerators - Section 11 53 23, and Mortuary Refrigerators - Section 11 78 13.</t>
  </si>
  <si>
    <t>Note 2 - Constant Temperature Rooms. Rooms covered under VA Master Specification Section 13 21 29 are used for laboratories and research facilities. Generally, the mechanical contractor does not furnish these items. Provide DDC temperature sensors for these rooms to sound local and remote alarms at the ECC. Provide ventilation air requirements per ASHRAE 62.1 - 2016 or latest approved edition only if building is pursuing LEED certification.</t>
  </si>
  <si>
    <t>Note 3 - Frost Prevention. Include provisions to prevent frost formation and subsequent floor heating for equipment mounted on grade or above grade with fill. Provide heating cables in coordination with the electrical discipline to prevent freezing below grade or concrete sub-floor. Evaluate the possibility of using waste heat for anti-frost system, to conserve energy.</t>
  </si>
  <si>
    <t>Note 4 - Emergency Power. Provide emergency power for the equipment and controls serving refrigerators and freezers.</t>
  </si>
  <si>
    <t>Note 5 - Heat Gain Factors. Use ASHRAE recommendations for heat gain factors, load calculations and compressor running time while selecting equipment to maintain the temperatures listed below:  Dairy Freezers: -20 F [-29 C], Ice Cream Freezers: -20 F [-29 C] Meat Freezers: -12 F [-24 C], Fresh Meat Refrigeration: 32 F [0 C] Walk-In Refrigerators: 36 F [2 C], Autopsy (Mortuary) Cold Room: 36 F [2 C] Subsistence Storage (Supply Service): 36 F [2 C]</t>
  </si>
  <si>
    <t>Warehouse (Central) with Pharmacy</t>
  </si>
  <si>
    <t>Note 1 - HVAC Systems - Warehouse. Provide mechanical cooling and heating for high-humidity locations. Provide ventilation and heating for all other locations. Base the system selection on the warehouse size and availability of the utilities. With the mechanical cooling option, provide two sets of pre-filters (MERV 7 and 11). With the ventilation option, MERV 7 pre-filter can be used.</t>
  </si>
  <si>
    <t>Note 2 - HVAC Systems - Pharmacy. Provide a thermostatically-controlled mechanical cooling unit to maintain 75 F [24 C] with 60% RH in cooling mode and 70 F [21 C] with 30% RH in heating mode.</t>
  </si>
  <si>
    <t>2 </t>
  </si>
  <si>
    <t>Exhaust (G  )</t>
  </si>
  <si>
    <t>4 </t>
  </si>
  <si>
    <t>45 </t>
  </si>
  <si>
    <r>
      <t>Note 2 - Space Pressurization - Supply 1.0 cfm/sf [5.1 L/s/m</t>
    </r>
    <r>
      <rPr>
        <vertAlign val="superscript"/>
        <sz val="8"/>
        <color theme="1"/>
        <rFont val="Arial"/>
        <family val="2"/>
      </rPr>
      <t>2</t>
    </r>
    <r>
      <rPr>
        <sz val="8"/>
        <color theme="1"/>
        <rFont val="Arial"/>
        <family val="2"/>
      </rPr>
      <t>] air under positive pressure from adjoining air terminal unit serving lobby to maintain positive pressure by allowing air to ex-filtrate outdoors.</t>
    </r>
  </si>
  <si>
    <t>CATEGORY</t>
  </si>
  <si>
    <t>Category</t>
  </si>
  <si>
    <t>Room Code</t>
  </si>
  <si>
    <t>Room Name</t>
  </si>
  <si>
    <t>Min Total ACH</t>
  </si>
  <si>
    <t>Min OA ACH</t>
  </si>
  <si>
    <t>Min Total CFM</t>
  </si>
  <si>
    <t>Min OA CFM</t>
  </si>
  <si>
    <t>Room Height</t>
  </si>
  <si>
    <t>Fire Rated Corridor?</t>
  </si>
  <si>
    <t>Room name</t>
  </si>
  <si>
    <t xml:space="preserve">Room Number </t>
  </si>
  <si>
    <t>Area</t>
  </si>
  <si>
    <t xml:space="preserve">Is there a duplicate? </t>
  </si>
  <si>
    <t>Difference in Area</t>
  </si>
  <si>
    <t>HcaiCAV</t>
  </si>
  <si>
    <t>FROM REVIT</t>
  </si>
  <si>
    <t>Area In Excel</t>
  </si>
  <si>
    <t>Corr</t>
  </si>
  <si>
    <t>Room Found?</t>
  </si>
  <si>
    <t>Designer Notes</t>
  </si>
  <si>
    <t>toilet</t>
  </si>
  <si>
    <t>ROOM QC MODE</t>
  </si>
  <si>
    <t>ON</t>
  </si>
  <si>
    <t>OFF</t>
  </si>
  <si>
    <t>M,N,O</t>
  </si>
  <si>
    <t>O,D</t>
  </si>
  <si>
    <t>ef-1</t>
  </si>
  <si>
    <t>AH1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</si>
</sst>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0_);_(* \(#,##0\);_(* &quot;  -     &quot;_);"/>
    <numFmt numFmtId="165" formatCode="0.0"/>
    <numFmt numFmtId="166" formatCode="_(\ #,##0.0_);_(* \(#,##0.0\);_(* &quot;  -     &quot;_)"/>
    <numFmt numFmtId="167" formatCode="#,##0.0"/>
    <numFmt numFmtId="168" formatCode="0\ &quot;CFM&quot;"/>
    <numFmt numFmtId="169" formatCode="0\ &quot;FT²&quot;"/>
    <numFmt numFmtId="170" formatCode="0\ &quot;ROOMS&quot;"/>
    <numFmt numFmtId="171" formatCode="0\ &quot;PEOPLE&quot;"/>
    <numFmt numFmtId="172" formatCode="0.0%"/>
    <numFmt numFmtId="173" formatCode="0&quot; Tons&quot;"/>
    <numFmt numFmtId="174" formatCode="#,##0&quot; CFM&quot;"/>
    <numFmt numFmtId="175" formatCode="0.0000000000000"/>
    <numFmt numFmtId="176" formatCode="0.00000000000"/>
  </numFmts>
  <fonts count="70">
    <font>
      <sz val="10"/>
      <name val="Arial"/>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1"/>
      <color theme="1"/>
      <name val="Century Gothic"/>
      <family val="2"/>
      <scheme val="minor"/>
    </font>
    <font>
      <sz val="10"/>
      <name val="Arial"/>
      <family val="2"/>
    </font>
    <font>
      <sz val="8"/>
      <name val="Arial Narrow"/>
      <family val="2"/>
    </font>
    <font>
      <sz val="7"/>
      <name val="Arial Narrow"/>
      <family val="2"/>
    </font>
    <font>
      <sz val="8"/>
      <color indexed="10"/>
      <name val="Arial Narrow"/>
      <family val="2"/>
    </font>
    <font>
      <sz val="11"/>
      <color theme="1"/>
      <name val="Calibri"/>
      <family val="2"/>
    </font>
    <font>
      <sz val="11"/>
      <name val="Century Gothic"/>
      <family val="2"/>
      <scheme val="minor"/>
    </font>
    <font>
      <b/>
      <sz val="11"/>
      <color theme="1"/>
      <name val="Century Gothic"/>
      <family val="2"/>
      <scheme val="minor"/>
    </font>
    <font>
      <sz val="8"/>
      <name val="Arial"/>
      <family val="2"/>
    </font>
    <font>
      <sz val="11"/>
      <name val="Calibri"/>
      <family val="2"/>
    </font>
    <font>
      <sz val="10"/>
      <color theme="1"/>
      <name val="Arial"/>
      <family val="2"/>
    </font>
    <font>
      <sz val="8"/>
      <name val="Arial"/>
      <family val="2"/>
    </font>
    <font>
      <sz val="12"/>
      <color theme="1"/>
      <name val="Arial"/>
      <family val="2"/>
    </font>
    <font>
      <sz val="12"/>
      <name val="Arial"/>
      <family val="2"/>
    </font>
    <font>
      <sz val="12"/>
      <color theme="1"/>
      <name val="Calibri"/>
      <family val="2"/>
    </font>
    <font>
      <sz val="10"/>
      <name val="Arial"/>
      <family val="2"/>
    </font>
    <font>
      <b/>
      <sz val="12"/>
      <color theme="1"/>
      <name val="Century Gothic"/>
      <family val="2"/>
      <scheme val="minor"/>
    </font>
    <font>
      <sz val="12"/>
      <color theme="3" tint="0.39997558519241921"/>
      <name val="Arial"/>
      <family val="2"/>
    </font>
    <font>
      <sz val="10"/>
      <color rgb="FF000000"/>
      <name val="Tahoma"/>
      <family val="2"/>
    </font>
    <font>
      <b/>
      <u/>
      <sz val="10"/>
      <color rgb="FF00B050"/>
      <name val="Arial"/>
      <family val="2"/>
    </font>
    <font>
      <sz val="10"/>
      <color rgb="FF00B050"/>
      <name val="Arial"/>
      <family val="2"/>
    </font>
    <font>
      <b/>
      <sz val="10"/>
      <color rgb="FF000000"/>
      <name val="Tahoma"/>
      <family val="2"/>
    </font>
    <font>
      <sz val="6"/>
      <color theme="1" tint="0.499984740745262"/>
      <name val="Arial"/>
      <family val="2"/>
    </font>
    <font>
      <u/>
      <sz val="10"/>
      <name val="Arial"/>
      <family val="2"/>
    </font>
    <font>
      <sz val="8"/>
      <color theme="3"/>
      <name val="Arial"/>
      <family val="2"/>
    </font>
    <font>
      <sz val="12"/>
      <color theme="1"/>
      <name val="Century Gothic"/>
      <family val="1"/>
      <scheme val="minor"/>
    </font>
    <font>
      <u/>
      <sz val="10"/>
      <color theme="10"/>
      <name val="Arial"/>
      <family val="2"/>
    </font>
    <font>
      <b/>
      <sz val="8"/>
      <color theme="1"/>
      <name val="Arial"/>
      <family val="2"/>
    </font>
    <font>
      <b/>
      <sz val="8"/>
      <name val="Arial"/>
      <family val="2"/>
    </font>
    <font>
      <u/>
      <sz val="8"/>
      <name val="Arial"/>
      <family val="2"/>
    </font>
    <font>
      <sz val="12"/>
      <color rgb="FFFF0000"/>
      <name val="Arial"/>
      <family val="2"/>
    </font>
    <font>
      <sz val="12"/>
      <color indexed="60"/>
      <name val="Arial"/>
      <family val="2"/>
    </font>
    <font>
      <b/>
      <sz val="11"/>
      <color theme="3"/>
      <name val="Century Gothic"/>
      <family val="2"/>
      <scheme val="minor"/>
    </font>
    <font>
      <b/>
      <sz val="8"/>
      <color theme="3"/>
      <name val="Arial"/>
      <family val="2"/>
    </font>
    <font>
      <b/>
      <sz val="12"/>
      <color theme="3"/>
      <name val="Arial"/>
      <family val="2"/>
    </font>
    <font>
      <b/>
      <sz val="11"/>
      <color theme="3"/>
      <name val="Calibri (Body)"/>
    </font>
    <font>
      <sz val="12"/>
      <name val="Calibri"/>
      <family val="2"/>
    </font>
    <font>
      <sz val="12"/>
      <color theme="1"/>
      <name val="Century Gothic"/>
      <family val="2"/>
      <scheme val="minor"/>
    </font>
    <font>
      <b/>
      <sz val="12"/>
      <name val="Arial"/>
      <family val="2"/>
    </font>
    <font>
      <b/>
      <sz val="12"/>
      <color theme="1"/>
      <name val="Arial"/>
      <family val="2"/>
    </font>
    <font>
      <sz val="9"/>
      <name val="Arial"/>
      <family val="2"/>
    </font>
    <font>
      <b/>
      <sz val="10"/>
      <name val="Arial"/>
      <family val="2"/>
    </font>
    <font>
      <b/>
      <sz val="10"/>
      <color rgb="FFFF0000"/>
      <name val="Arial"/>
      <family val="2"/>
    </font>
    <font>
      <sz val="12"/>
      <color rgb="FF00B050"/>
      <name val="Calibri"/>
      <family val="2"/>
    </font>
    <font>
      <b/>
      <sz val="12"/>
      <color rgb="FFFF0000"/>
      <name val="Arial"/>
      <family val="2"/>
    </font>
    <font>
      <b/>
      <sz val="18"/>
      <name val="Arial"/>
      <family val="2"/>
    </font>
    <font>
      <b/>
      <sz val="15"/>
      <color theme="3"/>
      <name val="Century Gothic"/>
      <family val="2"/>
      <scheme val="minor"/>
    </font>
    <font>
      <sz val="14"/>
      <name val="Arial"/>
      <family val="2"/>
    </font>
    <font>
      <b/>
      <sz val="14"/>
      <name val="Arial"/>
      <family val="2"/>
    </font>
    <font>
      <sz val="8"/>
      <name val="Calibri"/>
      <family val="2"/>
    </font>
    <font>
      <b/>
      <vertAlign val="superscript"/>
      <sz val="10"/>
      <name val="Calibri"/>
      <family val="2"/>
    </font>
    <font>
      <b/>
      <sz val="10"/>
      <name val="Calibri"/>
      <family val="2"/>
    </font>
    <font>
      <b/>
      <vertAlign val="subscript"/>
      <sz val="10"/>
      <name val="Calibri"/>
      <family val="2"/>
    </font>
    <font>
      <sz val="9"/>
      <color theme="1"/>
      <name val="Calibri"/>
      <family val="2"/>
    </font>
    <font>
      <sz val="16"/>
      <name val="Arial"/>
      <family val="2"/>
    </font>
    <font>
      <b/>
      <u/>
      <sz val="16"/>
      <color theme="1"/>
      <name val="Century Gothic"/>
      <family val="2"/>
      <scheme val="minor"/>
    </font>
    <font>
      <u/>
      <sz val="11"/>
      <color theme="10"/>
      <name val="Arial"/>
      <family val="2"/>
    </font>
    <font>
      <sz val="8"/>
      <color theme="1"/>
      <name val="Arial"/>
      <family val="2"/>
    </font>
    <font>
      <sz val="10"/>
      <color theme="1"/>
      <name val="Century Gothic"/>
      <family val="2"/>
      <scheme val="minor"/>
    </font>
    <font>
      <b/>
      <sz val="10"/>
      <color theme="1"/>
      <name val="Century Gothic"/>
      <family val="2"/>
      <scheme val="minor"/>
    </font>
    <font>
      <vertAlign val="superscript"/>
      <sz val="8"/>
      <color theme="1"/>
      <name val="Arial"/>
      <family val="2"/>
    </font>
    <font>
      <b/>
      <sz val="10"/>
      <color theme="3"/>
      <name val="Arial"/>
      <family val="2"/>
    </font>
    <font>
      <b/>
      <u/>
      <sz val="11"/>
      <color rgb="FFFF0000"/>
      <name val="Arial"/>
      <family val="2"/>
    </font>
    <font>
      <sz val="11"/>
      <color theme="3"/>
      <name val="Calibri (Body)"/>
    </font>
    <font>
      <sz val="11"/>
      <color theme="3"/>
      <name val="Century Gothic"/>
      <family val="2"/>
      <scheme val="minor"/>
    </font>
  </fonts>
  <fills count="10">
    <fill>
      <patternFill patternType="none"/>
    </fill>
    <fill>
      <patternFill patternType="gray125"/>
    </fill>
    <fill>
      <patternFill patternType="solid">
        <fgColor theme="0"/>
        <bgColor indexed="64"/>
      </patternFill>
    </fill>
    <fill>
      <patternFill patternType="solid">
        <fgColor rgb="FFBFBFBF"/>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bgColor indexed="9"/>
      </patternFill>
    </fill>
    <fill>
      <patternFill patternType="solid">
        <fgColor theme="2" tint="0.79998168889431442"/>
        <bgColor indexed="64"/>
      </patternFill>
    </fill>
    <fill>
      <patternFill patternType="solid">
        <fgColor rgb="FFCCFFFF"/>
        <bgColor indexed="64"/>
      </patternFill>
    </fill>
    <fill>
      <patternFill patternType="solid">
        <fgColor theme="0" tint="-0.249977111117893"/>
        <bgColor indexed="64"/>
      </patternFill>
    </fill>
  </fills>
  <borders count="154">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op>
      <bottom style="double">
        <color theme="4"/>
      </bottom>
      <diagonal/>
    </border>
    <border>
      <left style="thin">
        <color indexed="64"/>
      </left>
      <right/>
      <top/>
      <bottom style="thin">
        <color indexed="22"/>
      </bottom>
      <diagonal/>
    </border>
    <border>
      <left style="thin">
        <color auto="1"/>
      </left>
      <right style="thin">
        <color auto="1"/>
      </right>
      <top/>
      <bottom style="thin">
        <color indexed="22"/>
      </bottom>
      <diagonal/>
    </border>
    <border>
      <left/>
      <right style="thin">
        <color auto="1"/>
      </right>
      <top/>
      <bottom style="thin">
        <color indexed="22"/>
      </bottom>
      <diagonal/>
    </border>
    <border>
      <left/>
      <right/>
      <top/>
      <bottom style="thin">
        <color indexed="22"/>
      </bottom>
      <diagonal/>
    </border>
    <border>
      <left/>
      <right style="thin">
        <color indexed="23"/>
      </right>
      <top/>
      <bottom style="thin">
        <color indexed="22"/>
      </bottom>
      <diagonal/>
    </border>
    <border>
      <left/>
      <right/>
      <top style="thin">
        <color theme="1"/>
      </top>
      <bottom/>
      <diagonal/>
    </border>
    <border>
      <left style="thin">
        <color auto="1"/>
      </left>
      <right style="thin">
        <color auto="1"/>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indexed="23"/>
      </left>
      <right/>
      <top/>
      <bottom/>
      <diagonal/>
    </border>
    <border>
      <left style="thin">
        <color indexed="64"/>
      </left>
      <right/>
      <top style="thin">
        <color indexed="22"/>
      </top>
      <bottom style="thin">
        <color indexed="22"/>
      </bottom>
      <diagonal/>
    </border>
    <border>
      <left style="thin">
        <color auto="1"/>
      </left>
      <right style="thin">
        <color auto="1"/>
      </right>
      <top style="thin">
        <color indexed="22"/>
      </top>
      <bottom style="thin">
        <color indexed="22"/>
      </bottom>
      <diagonal/>
    </border>
    <border>
      <left/>
      <right style="thin">
        <color auto="1"/>
      </right>
      <top style="thin">
        <color indexed="22"/>
      </top>
      <bottom style="thin">
        <color indexed="22"/>
      </bottom>
      <diagonal/>
    </border>
    <border>
      <left/>
      <right/>
      <top style="thin">
        <color indexed="22"/>
      </top>
      <bottom style="thin">
        <color indexed="22"/>
      </bottom>
      <diagonal/>
    </border>
    <border>
      <left/>
      <right style="thin">
        <color indexed="23"/>
      </right>
      <top style="thin">
        <color indexed="22"/>
      </top>
      <bottom style="thin">
        <color indexed="22"/>
      </bottom>
      <diagonal/>
    </border>
    <border>
      <left style="thin">
        <color indexed="64"/>
      </left>
      <right/>
      <top style="thin">
        <color indexed="22"/>
      </top>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style="thin">
        <color indexed="22"/>
      </bottom>
      <diagonal/>
    </border>
    <border>
      <left style="thin">
        <color auto="1"/>
      </left>
      <right style="thin">
        <color auto="1"/>
      </right>
      <top style="thin">
        <color indexed="22"/>
      </top>
      <bottom style="thin">
        <color indexed="22"/>
      </bottom>
      <diagonal/>
    </border>
    <border>
      <left style="thin">
        <color indexed="64"/>
      </left>
      <right/>
      <top style="thin">
        <color indexed="22"/>
      </top>
      <bottom style="thin">
        <color indexed="22"/>
      </bottom>
      <diagonal/>
    </border>
    <border>
      <left style="thin">
        <color indexed="23"/>
      </left>
      <right/>
      <top style="thin">
        <color indexed="22"/>
      </top>
      <bottom/>
      <diagonal/>
    </border>
    <border>
      <left style="thin">
        <color auto="1"/>
      </left>
      <right style="thin">
        <color auto="1"/>
      </right>
      <top style="thin">
        <color indexed="22"/>
      </top>
      <bottom/>
      <diagonal/>
    </border>
    <border>
      <left/>
      <right style="thin">
        <color auto="1"/>
      </right>
      <top style="thin">
        <color indexed="22"/>
      </top>
      <bottom/>
      <diagonal/>
    </border>
    <border>
      <left/>
      <right/>
      <top style="thin">
        <color indexed="22"/>
      </top>
      <bottom/>
      <diagonal/>
    </border>
    <border>
      <left/>
      <right style="thin">
        <color indexed="23"/>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style="thin">
        <color indexed="23"/>
      </left>
      <right/>
      <top style="thin">
        <color indexed="22"/>
      </top>
      <bottom/>
      <diagonal/>
    </border>
    <border>
      <left style="thin">
        <color auto="1"/>
      </left>
      <right style="thin">
        <color auto="1"/>
      </right>
      <top style="thin">
        <color indexed="22"/>
      </top>
      <bottom/>
      <diagonal/>
    </border>
    <border>
      <left style="thin">
        <color indexed="64"/>
      </left>
      <right/>
      <top style="thin">
        <color indexed="22"/>
      </top>
      <bottom/>
      <diagonal/>
    </border>
    <border>
      <left/>
      <right/>
      <top/>
      <bottom style="thick">
        <color theme="4"/>
      </bottom>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rgb="FF000000"/>
      </right>
      <top style="thin">
        <color rgb="FF000000"/>
      </top>
      <bottom style="thin">
        <color rgb="FF000000"/>
      </bottom>
      <diagonal/>
    </border>
    <border>
      <left/>
      <right/>
      <top style="medium">
        <color indexed="64"/>
      </top>
      <bottom/>
      <diagonal/>
    </border>
    <border>
      <left style="thin">
        <color rgb="FF000000"/>
      </left>
      <right/>
      <top style="thin">
        <color rgb="FF000000"/>
      </top>
      <bottom style="thin">
        <color rgb="FF000000"/>
      </bottom>
      <diagonal/>
    </border>
  </borders>
  <cellStyleXfs count="9">
    <xf numFmtId="0" fontId="0" fillId="0" borderId="0"/>
    <xf numFmtId="0" fontId="14" fillId="3" borderId="0"/>
    <xf numFmtId="9" fontId="20" fillId="0" borderId="0" applyFont="0" applyFill="0" applyBorder="0" applyAlignment="0" applyProtection="0"/>
    <xf numFmtId="0" fontId="31" fillId="0" borderId="0" applyNumberFormat="0" applyFill="0" applyBorder="0" applyAlignment="0" applyProtection="0"/>
    <xf numFmtId="0" fontId="6" fillId="0" borderId="0"/>
    <xf numFmtId="0" fontId="51" fillId="0" borderId="146" applyNumberFormat="0" applyFill="0" applyAlignment="0" applyProtection="0"/>
    <xf numFmtId="0" fontId="3" fillId="0" borderId="0"/>
    <xf numFmtId="0" fontId="2" fillId="0" borderId="0"/>
    <xf numFmtId="0" fontId="1" fillId="0" borderId="0"/>
  </cellStyleXfs>
  <cellXfs count="531">
    <xf numFmtId="0" fontId="0" fillId="0" borderId="0" xfId="0"/>
    <xf numFmtId="0" fontId="7" fillId="0" borderId="0" xfId="0" applyFont="1"/>
    <xf numFmtId="0" fontId="0" fillId="0" borderId="0" xfId="0" applyAlignment="1">
      <alignment vertical="center"/>
    </xf>
    <xf numFmtId="0" fontId="6" fillId="0" borderId="0" xfId="0" applyFont="1" applyAlignment="1">
      <alignment vertical="center"/>
    </xf>
    <xf numFmtId="0" fontId="0" fillId="0" borderId="1" xfId="0" applyBorder="1" applyAlignment="1">
      <alignment horizontal="center" vertical="center"/>
    </xf>
    <xf numFmtId="0" fontId="12" fillId="5" borderId="9" xfId="0" applyFont="1" applyFill="1" applyBorder="1" applyAlignment="1">
      <alignment horizontal="center" vertical="center"/>
    </xf>
    <xf numFmtId="0" fontId="12" fillId="5" borderId="11" xfId="0" applyFon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15" fillId="0" borderId="0" xfId="0" applyFont="1"/>
    <xf numFmtId="0" fontId="6" fillId="0" borderId="0" xfId="0" applyFont="1"/>
    <xf numFmtId="0" fontId="7" fillId="0" borderId="0" xfId="0" applyFont="1" applyAlignment="1">
      <alignment horizontal="center" vertical="center"/>
    </xf>
    <xf numFmtId="165" fontId="11" fillId="0" borderId="0" xfId="0" applyNumberFormat="1" applyFont="1" applyAlignment="1">
      <alignment horizontal="center" vertical="center"/>
    </xf>
    <xf numFmtId="165" fontId="0" fillId="0" borderId="0" xfId="0" applyNumberFormat="1"/>
    <xf numFmtId="0" fontId="0" fillId="0" borderId="0" xfId="0" applyAlignment="1">
      <alignment vertical="center" wrapText="1"/>
    </xf>
    <xf numFmtId="0" fontId="13" fillId="0" borderId="0" xfId="0" applyFont="1"/>
    <xf numFmtId="0" fontId="25" fillId="0" borderId="0" xfId="0" applyFont="1"/>
    <xf numFmtId="0" fontId="21" fillId="0" borderId="14" xfId="0" applyFont="1" applyBorder="1" applyAlignment="1">
      <alignment horizontal="center" vertical="center"/>
    </xf>
    <xf numFmtId="3" fontId="21" fillId="0" borderId="14" xfId="0" applyNumberFormat="1" applyFont="1" applyBorder="1" applyAlignment="1">
      <alignment horizontal="center" vertical="center"/>
    </xf>
    <xf numFmtId="0" fontId="21" fillId="0" borderId="14" xfId="0" applyFont="1" applyBorder="1" applyAlignment="1" applyProtection="1">
      <alignment horizontal="center" vertical="center"/>
      <protection locked="0"/>
    </xf>
    <xf numFmtId="165" fontId="21" fillId="0" borderId="14" xfId="0" applyNumberFormat="1" applyFont="1" applyBorder="1" applyAlignment="1">
      <alignment horizontal="center" vertical="center"/>
    </xf>
    <xf numFmtId="1" fontId="21" fillId="0" borderId="14" xfId="0" applyNumberFormat="1" applyFont="1" applyBorder="1" applyAlignment="1">
      <alignment horizontal="center" vertical="center"/>
    </xf>
    <xf numFmtId="1" fontId="0" fillId="0" borderId="0" xfId="0" applyNumberFormat="1"/>
    <xf numFmtId="0" fontId="13" fillId="0" borderId="6" xfId="0" applyFont="1" applyBorder="1"/>
    <xf numFmtId="165" fontId="13" fillId="0" borderId="6" xfId="0" applyNumberFormat="1" applyFont="1" applyBorder="1"/>
    <xf numFmtId="0" fontId="13" fillId="0" borderId="3" xfId="0" applyFont="1" applyBorder="1"/>
    <xf numFmtId="0" fontId="0" fillId="0" borderId="0" xfId="0" applyAlignment="1">
      <alignment horizontal="left"/>
    </xf>
    <xf numFmtId="0" fontId="13" fillId="0" borderId="0" xfId="0" applyFont="1" applyAlignment="1">
      <alignment horizontal="right"/>
    </xf>
    <xf numFmtId="165" fontId="30" fillId="0" borderId="14" xfId="0" applyNumberFormat="1" applyFont="1" applyBorder="1" applyAlignment="1">
      <alignment horizontal="center" vertical="center"/>
    </xf>
    <xf numFmtId="0" fontId="13" fillId="0" borderId="2" xfId="0" applyFont="1" applyBorder="1" applyAlignment="1">
      <alignment horizontal="center" vertical="center" wrapText="1"/>
    </xf>
    <xf numFmtId="0" fontId="13" fillId="0" borderId="12" xfId="0" applyFont="1" applyBorder="1" applyAlignment="1">
      <alignment horizontal="center" vertical="center" wrapText="1"/>
    </xf>
    <xf numFmtId="0" fontId="33" fillId="0" borderId="13" xfId="0" applyFont="1" applyBorder="1" applyAlignment="1">
      <alignment horizontal="center" vertical="center" wrapText="1"/>
    </xf>
    <xf numFmtId="0" fontId="18" fillId="0" borderId="0" xfId="0" applyFont="1"/>
    <xf numFmtId="0" fontId="18" fillId="0" borderId="0" xfId="0" applyFont="1" applyAlignment="1">
      <alignment horizontal="center" vertical="center"/>
    </xf>
    <xf numFmtId="0" fontId="18" fillId="0" borderId="0" xfId="0" applyFont="1" applyAlignment="1">
      <alignment horizontal="left" vertical="center"/>
    </xf>
    <xf numFmtId="0" fontId="18" fillId="0" borderId="0" xfId="0" applyFont="1" applyAlignment="1">
      <alignment horizontal="center"/>
    </xf>
    <xf numFmtId="0" fontId="17" fillId="0" borderId="0" xfId="0" applyFont="1" applyAlignment="1">
      <alignment horizontal="center"/>
    </xf>
    <xf numFmtId="0" fontId="17" fillId="0" borderId="0" xfId="0" applyFont="1" applyAlignment="1">
      <alignment horizontal="center" vertical="center"/>
    </xf>
    <xf numFmtId="0" fontId="18" fillId="0" borderId="0" xfId="0" applyFont="1" applyAlignment="1">
      <alignment horizontal="right"/>
    </xf>
    <xf numFmtId="0" fontId="17" fillId="2" borderId="0" xfId="0" applyFont="1" applyFill="1" applyAlignment="1">
      <alignment horizontal="center"/>
    </xf>
    <xf numFmtId="0" fontId="17" fillId="2" borderId="0" xfId="0" applyFont="1" applyFill="1"/>
    <xf numFmtId="0" fontId="35" fillId="0" borderId="0" xfId="0" applyFont="1"/>
    <xf numFmtId="0" fontId="35" fillId="0" borderId="0" xfId="0" applyFont="1" applyAlignment="1">
      <alignment horizontal="center" vertical="center"/>
    </xf>
    <xf numFmtId="164" fontId="18" fillId="0" borderId="0" xfId="0" applyNumberFormat="1" applyFont="1" applyAlignment="1" applyProtection="1">
      <alignment horizontal="center" shrinkToFit="1"/>
      <protection locked="0"/>
    </xf>
    <xf numFmtId="164" fontId="36" fillId="0" borderId="0" xfId="0" applyNumberFormat="1" applyFont="1" applyAlignment="1">
      <alignment horizontal="center" shrinkToFit="1"/>
    </xf>
    <xf numFmtId="164" fontId="36" fillId="0" borderId="0" xfId="0" applyNumberFormat="1" applyFont="1" applyAlignment="1">
      <alignment horizontal="right" shrinkToFit="1"/>
    </xf>
    <xf numFmtId="3"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35" fillId="0" borderId="0" xfId="0" applyFont="1" applyAlignment="1">
      <alignment vertical="center"/>
    </xf>
    <xf numFmtId="2" fontId="18" fillId="0" borderId="0" xfId="0" applyNumberFormat="1" applyFont="1"/>
    <xf numFmtId="0" fontId="6" fillId="0" borderId="0" xfId="0" applyFont="1" applyAlignment="1">
      <alignment horizontal="center" vertical="center"/>
    </xf>
    <xf numFmtId="0" fontId="0" fillId="0" borderId="0" xfId="0" applyAlignment="1">
      <alignment horizontal="center" vertical="center"/>
    </xf>
    <xf numFmtId="0" fontId="8" fillId="0" borderId="15" xfId="4" applyFont="1" applyBorder="1" applyAlignment="1">
      <alignment vertical="center"/>
    </xf>
    <xf numFmtId="0" fontId="8" fillId="0" borderId="10" xfId="4" applyFont="1" applyBorder="1" applyAlignment="1">
      <alignment vertical="center"/>
    </xf>
    <xf numFmtId="0" fontId="8" fillId="0" borderId="0" xfId="4" applyFont="1" applyAlignment="1">
      <alignment vertical="center"/>
    </xf>
    <xf numFmtId="0" fontId="7" fillId="0" borderId="15" xfId="4" applyFont="1" applyBorder="1" applyAlignment="1">
      <alignment vertical="center"/>
    </xf>
    <xf numFmtId="0" fontId="7" fillId="0" borderId="16" xfId="4" applyFont="1" applyBorder="1" applyAlignment="1">
      <alignment horizontal="center"/>
    </xf>
    <xf numFmtId="0" fontId="7" fillId="0" borderId="17" xfId="4" applyFont="1" applyBorder="1" applyAlignment="1">
      <alignment horizontal="center"/>
    </xf>
    <xf numFmtId="0" fontId="7" fillId="0" borderId="18" xfId="4" applyFont="1" applyBorder="1" applyAlignment="1">
      <alignment horizontal="center"/>
    </xf>
    <xf numFmtId="0" fontId="7" fillId="0" borderId="19" xfId="4" applyFont="1" applyBorder="1" applyAlignment="1">
      <alignment horizontal="center"/>
    </xf>
    <xf numFmtId="0" fontId="7" fillId="0" borderId="15" xfId="4" applyFont="1" applyBorder="1" applyAlignment="1">
      <alignment horizontal="center" vertical="center"/>
    </xf>
    <xf numFmtId="0" fontId="9" fillId="0" borderId="15" xfId="4" applyFont="1" applyBorder="1" applyAlignment="1">
      <alignment horizontal="center" vertical="center"/>
    </xf>
    <xf numFmtId="0" fontId="43" fillId="0" borderId="21" xfId="0" applyFont="1" applyBorder="1" applyAlignment="1">
      <alignment horizontal="center" vertical="center"/>
    </xf>
    <xf numFmtId="0" fontId="43" fillId="0" borderId="21" xfId="0" applyFont="1" applyBorder="1" applyAlignment="1">
      <alignment horizontal="center" vertical="center" wrapText="1"/>
    </xf>
    <xf numFmtId="0" fontId="43" fillId="0" borderId="0" xfId="0" applyFont="1" applyAlignment="1">
      <alignment horizontal="center" vertical="center" wrapText="1"/>
    </xf>
    <xf numFmtId="1" fontId="43" fillId="0" borderId="21" xfId="0" applyNumberFormat="1" applyFont="1" applyBorder="1" applyAlignment="1">
      <alignment horizontal="center" vertical="center" wrapText="1"/>
    </xf>
    <xf numFmtId="0" fontId="43" fillId="0" borderId="10" xfId="0" applyFont="1" applyBorder="1" applyAlignment="1">
      <alignment horizontal="center" vertical="center" wrapText="1"/>
    </xf>
    <xf numFmtId="0" fontId="43" fillId="0" borderId="12" xfId="0" applyFont="1" applyBorder="1" applyAlignment="1">
      <alignment horizontal="center" vertical="center"/>
    </xf>
    <xf numFmtId="9" fontId="42" fillId="0" borderId="20" xfId="2" applyFont="1" applyBorder="1" applyAlignment="1">
      <alignment horizontal="center" vertical="center"/>
    </xf>
    <xf numFmtId="0" fontId="0" fillId="0" borderId="0" xfId="0" applyAlignment="1">
      <alignment horizontal="center"/>
    </xf>
    <xf numFmtId="0" fontId="6" fillId="0" borderId="0" xfId="4" applyAlignment="1">
      <alignment horizontal="center"/>
    </xf>
    <xf numFmtId="0" fontId="6" fillId="0" borderId="0" xfId="0" applyFont="1" applyAlignment="1">
      <alignment horizontal="center"/>
    </xf>
    <xf numFmtId="43" fontId="6" fillId="0" borderId="0" xfId="4" applyNumberFormat="1" applyAlignment="1">
      <alignment horizontal="center"/>
    </xf>
    <xf numFmtId="2" fontId="6" fillId="0" borderId="0" xfId="4" applyNumberFormat="1" applyAlignment="1">
      <alignment horizontal="center"/>
    </xf>
    <xf numFmtId="9" fontId="21" fillId="0" borderId="0" xfId="0" applyNumberFormat="1" applyFont="1" applyAlignment="1">
      <alignment horizontal="center" vertical="center"/>
    </xf>
    <xf numFmtId="1" fontId="43" fillId="0" borderId="0" xfId="0" applyNumberFormat="1" applyFont="1" applyAlignment="1">
      <alignment horizontal="center" vertical="center" wrapText="1"/>
    </xf>
    <xf numFmtId="0" fontId="39" fillId="7" borderId="3" xfId="0" applyFont="1" applyFill="1" applyBorder="1" applyAlignment="1">
      <alignment horizontal="center" vertical="center"/>
    </xf>
    <xf numFmtId="0" fontId="17" fillId="2" borderId="13" xfId="0" applyFont="1" applyFill="1" applyBorder="1" applyAlignment="1" applyProtection="1">
      <alignment horizontal="center" vertical="center"/>
      <protection locked="0"/>
    </xf>
    <xf numFmtId="0" fontId="17" fillId="2" borderId="2" xfId="0" applyFont="1" applyFill="1" applyBorder="1" applyAlignment="1" applyProtection="1">
      <alignment horizontal="left" vertical="center"/>
      <protection locked="0"/>
    </xf>
    <xf numFmtId="0" fontId="17" fillId="2" borderId="2" xfId="0" applyFont="1" applyFill="1" applyBorder="1" applyAlignment="1" applyProtection="1">
      <alignment horizontal="center" vertical="center" wrapText="1"/>
      <protection locked="0"/>
    </xf>
    <xf numFmtId="9" fontId="17" fillId="6" borderId="2" xfId="0" applyNumberFormat="1" applyFont="1" applyFill="1" applyBorder="1" applyAlignment="1" applyProtection="1">
      <alignment horizontal="center" vertical="center" wrapText="1"/>
      <protection locked="0"/>
    </xf>
    <xf numFmtId="0" fontId="6" fillId="0" borderId="0" xfId="4" applyAlignment="1">
      <alignment horizontal="left"/>
    </xf>
    <xf numFmtId="0" fontId="6" fillId="0" borderId="0" xfId="4"/>
    <xf numFmtId="4" fontId="0" fillId="0" borderId="0" xfId="0" applyNumberFormat="1"/>
    <xf numFmtId="0" fontId="46" fillId="0" borderId="0" xfId="0" applyFont="1"/>
    <xf numFmtId="0" fontId="47" fillId="0" borderId="0" xfId="0" applyFont="1"/>
    <xf numFmtId="0" fontId="6" fillId="0" borderId="0" xfId="0" applyFont="1" applyAlignment="1">
      <alignment wrapText="1"/>
    </xf>
    <xf numFmtId="0" fontId="0" fillId="0" borderId="0" xfId="0" applyAlignment="1">
      <alignment wrapText="1"/>
    </xf>
    <xf numFmtId="0" fontId="22" fillId="0" borderId="24" xfId="0" applyFont="1" applyBorder="1" applyAlignment="1">
      <alignment horizontal="center" vertical="center" wrapText="1"/>
    </xf>
    <xf numFmtId="1" fontId="18" fillId="0" borderId="25" xfId="0" applyNumberFormat="1" applyFont="1" applyBorder="1" applyAlignment="1">
      <alignment horizontal="center" vertical="center"/>
    </xf>
    <xf numFmtId="0" fontId="18" fillId="0" borderId="25" xfId="0" applyFont="1" applyBorder="1" applyAlignment="1">
      <alignment horizontal="center" vertical="center"/>
    </xf>
    <xf numFmtId="0" fontId="39" fillId="7" borderId="25" xfId="0" applyFont="1" applyFill="1" applyBorder="1" applyAlignment="1">
      <alignment horizontal="center" vertical="center"/>
    </xf>
    <xf numFmtId="0" fontId="18" fillId="0" borderId="25" xfId="0" applyFont="1" applyBorder="1" applyAlignment="1">
      <alignment horizontal="center" vertical="center" shrinkToFit="1"/>
    </xf>
    <xf numFmtId="0" fontId="17" fillId="0" borderId="25" xfId="0" applyFont="1" applyBorder="1" applyAlignment="1">
      <alignment horizontal="center" vertical="center" wrapText="1"/>
    </xf>
    <xf numFmtId="1" fontId="17" fillId="0" borderId="25" xfId="0" applyNumberFormat="1" applyFont="1" applyBorder="1" applyAlignment="1">
      <alignment horizontal="center" vertical="center" wrapText="1"/>
    </xf>
    <xf numFmtId="2" fontId="17" fillId="0" borderId="25" xfId="0" applyNumberFormat="1" applyFont="1" applyBorder="1" applyAlignment="1">
      <alignment horizontal="center" vertical="center" wrapText="1"/>
    </xf>
    <xf numFmtId="1" fontId="39" fillId="7" borderId="25" xfId="0" applyNumberFormat="1" applyFont="1" applyFill="1" applyBorder="1" applyAlignment="1" applyProtection="1">
      <alignment horizontal="center" vertical="center" wrapText="1"/>
      <protection locked="0"/>
    </xf>
    <xf numFmtId="166" fontId="18" fillId="0" borderId="25" xfId="0" applyNumberFormat="1" applyFont="1" applyBorder="1" applyAlignment="1">
      <alignment horizontal="center" vertical="center"/>
    </xf>
    <xf numFmtId="0" fontId="17" fillId="2" borderId="25" xfId="0" applyFont="1" applyFill="1" applyBorder="1" applyAlignment="1" applyProtection="1">
      <alignment horizontal="center" vertical="center" wrapText="1"/>
      <protection locked="0"/>
    </xf>
    <xf numFmtId="0" fontId="17" fillId="0" borderId="25" xfId="0" applyFont="1" applyBorder="1" applyAlignment="1" applyProtection="1">
      <alignment horizontal="center" vertical="center" wrapText="1"/>
      <protection locked="0"/>
    </xf>
    <xf numFmtId="165" fontId="18" fillId="0" borderId="25" xfId="0" applyNumberFormat="1" applyFont="1" applyBorder="1" applyAlignment="1">
      <alignment horizontal="center" vertical="center"/>
    </xf>
    <xf numFmtId="0" fontId="22" fillId="0" borderId="26" xfId="0" applyFont="1" applyBorder="1" applyAlignment="1">
      <alignment horizontal="center" vertical="center"/>
    </xf>
    <xf numFmtId="164" fontId="18" fillId="0" borderId="26" xfId="0" applyNumberFormat="1" applyFont="1" applyBorder="1" applyAlignment="1">
      <alignment horizontal="center" shrinkToFit="1"/>
    </xf>
    <xf numFmtId="164" fontId="18" fillId="0" borderId="26" xfId="0" applyNumberFormat="1" applyFont="1" applyBorder="1" applyAlignment="1">
      <alignment horizontal="center" vertical="center" shrinkToFit="1"/>
    </xf>
    <xf numFmtId="0" fontId="18" fillId="0" borderId="26" xfId="0" applyFont="1" applyBorder="1" applyAlignment="1">
      <alignment horizontal="center" vertical="center"/>
    </xf>
    <xf numFmtId="0" fontId="17" fillId="0" borderId="24"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0" fontId="18" fillId="0" borderId="26" xfId="0" applyFont="1" applyBorder="1" applyAlignment="1" applyProtection="1">
      <alignment horizontal="center" vertical="center"/>
      <protection locked="0"/>
    </xf>
    <xf numFmtId="165" fontId="18" fillId="0" borderId="26" xfId="0" applyNumberFormat="1" applyFont="1" applyBorder="1" applyAlignment="1" applyProtection="1">
      <alignment horizontal="center" vertical="center"/>
      <protection locked="0"/>
    </xf>
    <xf numFmtId="0" fontId="18" fillId="0" borderId="27" xfId="0" applyFont="1" applyBorder="1" applyAlignment="1" applyProtection="1">
      <alignment horizontal="center" vertical="center"/>
      <protection locked="0"/>
    </xf>
    <xf numFmtId="0" fontId="17" fillId="0" borderId="25" xfId="0" applyFont="1" applyBorder="1" applyAlignment="1">
      <alignment horizontal="center" vertical="center"/>
    </xf>
    <xf numFmtId="0" fontId="17" fillId="0" borderId="25" xfId="0" applyFont="1" applyBorder="1" applyAlignment="1" applyProtection="1">
      <alignment horizontal="center" vertical="center"/>
      <protection locked="0"/>
    </xf>
    <xf numFmtId="1" fontId="17" fillId="0" borderId="25" xfId="0" applyNumberFormat="1" applyFont="1" applyBorder="1" applyAlignment="1" applyProtection="1">
      <alignment horizontal="center" vertical="center"/>
      <protection locked="0"/>
    </xf>
    <xf numFmtId="0" fontId="18" fillId="0" borderId="25" xfId="0" applyFont="1" applyBorder="1" applyAlignment="1" applyProtection="1">
      <alignment horizontal="center" vertical="center"/>
      <protection locked="0"/>
    </xf>
    <xf numFmtId="165" fontId="18" fillId="0" borderId="25" xfId="0" applyNumberFormat="1" applyFont="1" applyBorder="1" applyAlignment="1" applyProtection="1">
      <alignment horizontal="center" vertical="center"/>
      <protection locked="0"/>
    </xf>
    <xf numFmtId="0" fontId="13" fillId="0" borderId="25" xfId="0" applyFont="1" applyBorder="1" applyAlignment="1">
      <alignment horizontal="center" vertical="center"/>
    </xf>
    <xf numFmtId="165" fontId="38" fillId="7" borderId="25" xfId="0" applyNumberFormat="1" applyFont="1" applyFill="1" applyBorder="1" applyAlignment="1" applyProtection="1">
      <alignment horizontal="center" vertical="center"/>
      <protection locked="0"/>
    </xf>
    <xf numFmtId="0" fontId="38" fillId="7" borderId="25" xfId="0" applyFont="1" applyFill="1" applyBorder="1" applyAlignment="1" applyProtection="1">
      <alignment horizontal="center" vertical="center"/>
      <protection locked="0"/>
    </xf>
    <xf numFmtId="0" fontId="13" fillId="0" borderId="25" xfId="0" applyFont="1" applyBorder="1" applyAlignment="1">
      <alignment horizontal="left"/>
    </xf>
    <xf numFmtId="9" fontId="38" fillId="7" borderId="25" xfId="2" applyFont="1" applyFill="1" applyBorder="1" applyAlignment="1" applyProtection="1">
      <alignment horizontal="center" vertical="center"/>
      <protection locked="0"/>
    </xf>
    <xf numFmtId="49" fontId="6" fillId="0" borderId="25" xfId="0" applyNumberFormat="1" applyFont="1" applyBorder="1" applyAlignment="1">
      <alignment horizontal="center" vertical="center" wrapText="1"/>
    </xf>
    <xf numFmtId="0" fontId="6" fillId="0" borderId="25" xfId="0" applyFont="1" applyBorder="1" applyAlignment="1">
      <alignment horizontal="center" vertical="center"/>
    </xf>
    <xf numFmtId="165" fontId="11" fillId="0" borderId="25" xfId="0" applyNumberFormat="1" applyFont="1" applyBorder="1" applyAlignment="1">
      <alignment horizontal="center" vertical="center"/>
    </xf>
    <xf numFmtId="1" fontId="11" fillId="0" borderId="25" xfId="0" applyNumberFormat="1" applyFont="1" applyBorder="1" applyAlignment="1">
      <alignment horizontal="center" vertical="center"/>
    </xf>
    <xf numFmtId="49" fontId="15" fillId="0" borderId="25" xfId="0" applyNumberFormat="1" applyFont="1" applyBorder="1" applyAlignment="1">
      <alignment horizontal="center" vertical="center" wrapText="1"/>
    </xf>
    <xf numFmtId="0" fontId="15" fillId="0" borderId="25" xfId="0" applyFont="1" applyBorder="1" applyAlignment="1">
      <alignment horizontal="center" vertical="center"/>
    </xf>
    <xf numFmtId="0" fontId="10" fillId="0" borderId="25" xfId="0" applyFont="1" applyBorder="1" applyAlignment="1">
      <alignment horizontal="center" vertical="center"/>
    </xf>
    <xf numFmtId="1" fontId="5" fillId="0" borderId="25" xfId="0" applyNumberFormat="1" applyFont="1" applyBorder="1" applyAlignment="1">
      <alignment horizontal="center" vertical="center"/>
    </xf>
    <xf numFmtId="1" fontId="15" fillId="0" borderId="25" xfId="0" applyNumberFormat="1" applyFont="1" applyBorder="1" applyAlignment="1">
      <alignment horizontal="center" vertical="center"/>
    </xf>
    <xf numFmtId="0" fontId="11" fillId="0" borderId="25" xfId="0" applyFont="1" applyBorder="1" applyAlignment="1">
      <alignment horizontal="center" vertical="center"/>
    </xf>
    <xf numFmtId="3" fontId="11" fillId="0" borderId="25" xfId="0" applyNumberFormat="1" applyFont="1" applyBorder="1" applyAlignment="1">
      <alignment horizontal="center" vertical="center"/>
    </xf>
    <xf numFmtId="165" fontId="40" fillId="7" borderId="25" xfId="0" applyNumberFormat="1" applyFont="1" applyFill="1" applyBorder="1" applyAlignment="1" applyProtection="1">
      <alignment horizontal="center" vertical="center"/>
      <protection locked="0"/>
    </xf>
    <xf numFmtId="0" fontId="37" fillId="7" borderId="25" xfId="0" applyFont="1" applyFill="1" applyBorder="1" applyAlignment="1">
      <alignment horizontal="center" vertical="center"/>
    </xf>
    <xf numFmtId="165" fontId="6" fillId="0" borderId="25" xfId="0" applyNumberFormat="1" applyFont="1" applyBorder="1" applyAlignment="1">
      <alignment horizontal="center" vertical="center"/>
    </xf>
    <xf numFmtId="1" fontId="6" fillId="0" borderId="25" xfId="0" applyNumberFormat="1" applyFont="1" applyBorder="1" applyAlignment="1">
      <alignment horizontal="center" vertical="center"/>
    </xf>
    <xf numFmtId="165" fontId="37" fillId="7" borderId="25" xfId="0" applyNumberFormat="1" applyFont="1" applyFill="1" applyBorder="1" applyAlignment="1">
      <alignment horizontal="center" vertical="center"/>
    </xf>
    <xf numFmtId="167" fontId="11" fillId="0" borderId="25" xfId="0" applyNumberFormat="1" applyFont="1" applyBorder="1" applyAlignment="1">
      <alignment horizontal="center" vertical="center"/>
    </xf>
    <xf numFmtId="165" fontId="17" fillId="0" borderId="25" xfId="0" applyNumberFormat="1" applyFont="1" applyBorder="1" applyAlignment="1">
      <alignment horizontal="center" vertical="center" wrapText="1"/>
    </xf>
    <xf numFmtId="1" fontId="39" fillId="7" borderId="25" xfId="0" applyNumberFormat="1" applyFont="1" applyFill="1" applyBorder="1" applyAlignment="1">
      <alignment horizontal="center" vertical="center"/>
    </xf>
    <xf numFmtId="0" fontId="8" fillId="0" borderId="21" xfId="4" applyFont="1" applyBorder="1" applyAlignment="1">
      <alignment vertical="center"/>
    </xf>
    <xf numFmtId="0" fontId="8" fillId="0" borderId="22" xfId="4" applyFont="1" applyBorder="1" applyAlignment="1">
      <alignment vertical="center"/>
    </xf>
    <xf numFmtId="0" fontId="8" fillId="0" borderId="28" xfId="4" applyFont="1" applyBorder="1" applyAlignment="1">
      <alignment vertical="center"/>
    </xf>
    <xf numFmtId="0" fontId="7" fillId="0" borderId="29" xfId="4" applyFont="1" applyBorder="1" applyAlignment="1">
      <alignment horizontal="center" vertical="center"/>
    </xf>
    <xf numFmtId="0" fontId="7" fillId="0" borderId="29" xfId="4" applyFont="1" applyBorder="1" applyAlignment="1">
      <alignment vertical="center"/>
    </xf>
    <xf numFmtId="0" fontId="7" fillId="0" borderId="30" xfId="4" applyFont="1" applyBorder="1" applyAlignment="1">
      <alignment horizontal="center" vertical="center"/>
    </xf>
    <xf numFmtId="0" fontId="7" fillId="0" borderId="31" xfId="4" applyFont="1" applyBorder="1" applyAlignment="1">
      <alignment horizontal="center" vertical="center"/>
    </xf>
    <xf numFmtId="0" fontId="7" fillId="0" borderId="32" xfId="4" applyFont="1" applyBorder="1" applyAlignment="1">
      <alignment horizontal="center" vertical="center"/>
    </xf>
    <xf numFmtId="0" fontId="7" fillId="0" borderId="33" xfId="4" applyFont="1" applyBorder="1" applyAlignment="1">
      <alignment horizontal="center" vertical="center"/>
    </xf>
    <xf numFmtId="0" fontId="7" fillId="0" borderId="34" xfId="4" applyFont="1" applyBorder="1" applyAlignment="1">
      <alignment horizontal="center" vertical="center"/>
    </xf>
    <xf numFmtId="0" fontId="9" fillId="0" borderId="29" xfId="4" applyFont="1" applyBorder="1" applyAlignment="1">
      <alignment horizontal="center" vertical="center"/>
    </xf>
    <xf numFmtId="0" fontId="7" fillId="0" borderId="35" xfId="4" applyFont="1" applyBorder="1" applyAlignment="1">
      <alignment horizontal="left" vertical="center"/>
    </xf>
    <xf numFmtId="0" fontId="7" fillId="0" borderId="36" xfId="4" applyFont="1" applyBorder="1" applyAlignment="1">
      <alignment horizontal="center" vertical="center"/>
    </xf>
    <xf numFmtId="0" fontId="7" fillId="0" borderId="37" xfId="4" applyFont="1" applyBorder="1" applyAlignment="1">
      <alignment horizontal="center" vertical="center"/>
    </xf>
    <xf numFmtId="0" fontId="7" fillId="0" borderId="38" xfId="4" applyFont="1" applyBorder="1" applyAlignment="1">
      <alignment horizontal="left" vertical="center"/>
    </xf>
    <xf numFmtId="0" fontId="7" fillId="0" borderId="39" xfId="4" applyFont="1" applyBorder="1" applyAlignment="1">
      <alignment horizontal="center" vertical="center"/>
    </xf>
    <xf numFmtId="0" fontId="7" fillId="0" borderId="40" xfId="4" applyFont="1" applyBorder="1" applyAlignment="1">
      <alignment horizontal="center" vertical="center"/>
    </xf>
    <xf numFmtId="0" fontId="7" fillId="0" borderId="41" xfId="4" applyFont="1" applyBorder="1" applyAlignment="1">
      <alignment horizontal="left" vertical="center"/>
    </xf>
    <xf numFmtId="0" fontId="7" fillId="0" borderId="42" xfId="4" applyFont="1" applyBorder="1" applyAlignment="1">
      <alignment horizontal="center" vertical="center"/>
    </xf>
    <xf numFmtId="0" fontId="7" fillId="0" borderId="43" xfId="4" applyFont="1" applyBorder="1" applyAlignment="1">
      <alignment horizontal="center" vertical="center"/>
    </xf>
    <xf numFmtId="0" fontId="7" fillId="0" borderId="44" xfId="4" applyFont="1" applyBorder="1" applyAlignment="1">
      <alignment horizontal="left" vertical="center"/>
    </xf>
    <xf numFmtId="0" fontId="7" fillId="0" borderId="45" xfId="4" applyFont="1" applyBorder="1" applyAlignment="1">
      <alignment horizontal="center" vertical="center"/>
    </xf>
    <xf numFmtId="0" fontId="7" fillId="0" borderId="46" xfId="4" applyFont="1" applyBorder="1" applyAlignment="1">
      <alignment horizontal="center" vertical="center"/>
    </xf>
    <xf numFmtId="0" fontId="7" fillId="0" borderId="47" xfId="4" applyFont="1" applyBorder="1" applyAlignment="1">
      <alignment horizontal="left" vertical="center"/>
    </xf>
    <xf numFmtId="0" fontId="7" fillId="0" borderId="48" xfId="4" applyFont="1" applyBorder="1" applyAlignment="1">
      <alignment horizontal="center" vertical="center"/>
    </xf>
    <xf numFmtId="0" fontId="7" fillId="0" borderId="49" xfId="4" applyFont="1" applyBorder="1" applyAlignment="1">
      <alignment horizontal="center" vertical="center"/>
    </xf>
    <xf numFmtId="0" fontId="7" fillId="0" borderId="50" xfId="4" applyFont="1" applyBorder="1" applyAlignment="1">
      <alignment horizontal="left" vertical="center"/>
    </xf>
    <xf numFmtId="0" fontId="7" fillId="0" borderId="51" xfId="4" applyFont="1" applyBorder="1" applyAlignment="1">
      <alignment horizontal="center" vertical="center"/>
    </xf>
    <xf numFmtId="0" fontId="7" fillId="0" borderId="52" xfId="4" applyFont="1" applyBorder="1" applyAlignment="1">
      <alignment horizontal="center" vertical="center"/>
    </xf>
    <xf numFmtId="0" fontId="7" fillId="0" borderId="53" xfId="4" applyFont="1" applyBorder="1" applyAlignment="1">
      <alignment horizontal="left" vertical="center"/>
    </xf>
    <xf numFmtId="0" fontId="7" fillId="0" borderId="54" xfId="4" applyFont="1" applyBorder="1" applyAlignment="1">
      <alignment horizontal="center" vertical="center"/>
    </xf>
    <xf numFmtId="0" fontId="7" fillId="0" borderId="55" xfId="4" applyFont="1" applyBorder="1" applyAlignment="1">
      <alignment horizontal="center" vertical="center"/>
    </xf>
    <xf numFmtId="0" fontId="7" fillId="0" borderId="56" xfId="4" applyFont="1" applyBorder="1" applyAlignment="1">
      <alignment horizontal="left" vertical="center"/>
    </xf>
    <xf numFmtId="0" fontId="7" fillId="0" borderId="57" xfId="4" applyFont="1" applyBorder="1" applyAlignment="1">
      <alignment horizontal="center" vertical="center"/>
    </xf>
    <xf numFmtId="0" fontId="7" fillId="0" borderId="58" xfId="4" applyFont="1" applyBorder="1" applyAlignment="1">
      <alignment horizontal="center" vertical="center"/>
    </xf>
    <xf numFmtId="0" fontId="7" fillId="0" borderId="58" xfId="4" applyFont="1" applyBorder="1" applyAlignment="1">
      <alignment vertical="center"/>
    </xf>
    <xf numFmtId="0" fontId="7" fillId="0" borderId="59" xfId="4" applyFont="1" applyBorder="1" applyAlignment="1">
      <alignment horizontal="left" vertical="center"/>
    </xf>
    <xf numFmtId="0" fontId="7" fillId="0" borderId="60" xfId="4" applyFont="1" applyBorder="1" applyAlignment="1">
      <alignment horizontal="center" vertical="center"/>
    </xf>
    <xf numFmtId="0" fontId="7" fillId="0" borderId="61" xfId="4" applyFont="1" applyBorder="1" applyAlignment="1">
      <alignment horizontal="center" vertical="center"/>
    </xf>
    <xf numFmtId="0" fontId="7" fillId="0" borderId="62" xfId="4" applyFont="1" applyBorder="1" applyAlignment="1">
      <alignment horizontal="left" vertical="center"/>
    </xf>
    <xf numFmtId="0" fontId="7" fillId="0" borderId="63" xfId="4" applyFont="1" applyBorder="1" applyAlignment="1">
      <alignment horizontal="center" vertical="center"/>
    </xf>
    <xf numFmtId="0" fontId="7" fillId="0" borderId="64" xfId="4" applyFont="1" applyBorder="1" applyAlignment="1">
      <alignment horizontal="center" vertical="center"/>
    </xf>
    <xf numFmtId="0" fontId="7" fillId="0" borderId="65" xfId="4" applyFont="1" applyBorder="1" applyAlignment="1">
      <alignment horizontal="left" vertical="center"/>
    </xf>
    <xf numFmtId="0" fontId="7" fillId="0" borderId="66" xfId="4" applyFont="1" applyBorder="1" applyAlignment="1">
      <alignment horizontal="center" vertical="center"/>
    </xf>
    <xf numFmtId="0" fontId="7" fillId="0" borderId="67" xfId="4" applyFont="1" applyBorder="1" applyAlignment="1">
      <alignment horizontal="center" vertical="center"/>
    </xf>
    <xf numFmtId="0" fontId="7" fillId="0" borderId="68" xfId="4" applyFont="1" applyBorder="1" applyAlignment="1">
      <alignment horizontal="left" vertical="center"/>
    </xf>
    <xf numFmtId="0" fontId="7" fillId="0" borderId="69" xfId="4" applyFont="1" applyBorder="1" applyAlignment="1">
      <alignment horizontal="center" vertical="center"/>
    </xf>
    <xf numFmtId="0" fontId="7" fillId="0" borderId="70" xfId="4" applyFont="1" applyBorder="1" applyAlignment="1">
      <alignment horizontal="center" vertical="center"/>
    </xf>
    <xf numFmtId="0" fontId="7" fillId="0" borderId="71" xfId="4" applyFont="1" applyBorder="1" applyAlignment="1">
      <alignment horizontal="left" vertical="center"/>
    </xf>
    <xf numFmtId="0" fontId="7" fillId="0" borderId="72" xfId="4" applyFont="1" applyBorder="1" applyAlignment="1">
      <alignment horizontal="center" vertical="center"/>
    </xf>
    <xf numFmtId="0" fontId="7" fillId="0" borderId="73" xfId="4" applyFont="1" applyBorder="1" applyAlignment="1">
      <alignment horizontal="center" vertical="center"/>
    </xf>
    <xf numFmtId="0" fontId="7" fillId="0" borderId="74" xfId="4" applyFont="1" applyBorder="1" applyAlignment="1">
      <alignment horizontal="left" vertical="center"/>
    </xf>
    <xf numFmtId="0" fontId="7" fillId="0" borderId="75" xfId="4" applyFont="1" applyBorder="1" applyAlignment="1">
      <alignment horizontal="center" vertical="center"/>
    </xf>
    <xf numFmtId="0" fontId="7" fillId="0" borderId="76" xfId="4" applyFont="1" applyBorder="1" applyAlignment="1">
      <alignment horizontal="center" vertical="center"/>
    </xf>
    <xf numFmtId="0" fontId="7" fillId="0" borderId="77" xfId="4" applyFont="1" applyBorder="1" applyAlignment="1">
      <alignment horizontal="left" vertical="center"/>
    </xf>
    <xf numFmtId="0" fontId="7" fillId="0" borderId="78" xfId="4" applyFont="1" applyBorder="1" applyAlignment="1">
      <alignment horizontal="center" vertical="center"/>
    </xf>
    <xf numFmtId="0" fontId="7" fillId="0" borderId="79" xfId="4" applyFont="1" applyBorder="1" applyAlignment="1">
      <alignment horizontal="center" vertical="center"/>
    </xf>
    <xf numFmtId="0" fontId="7" fillId="0" borderId="80" xfId="4" applyFont="1" applyBorder="1" applyAlignment="1">
      <alignment horizontal="left" vertical="center"/>
    </xf>
    <xf numFmtId="0" fontId="7" fillId="0" borderId="81" xfId="4" applyFont="1" applyBorder="1" applyAlignment="1">
      <alignment horizontal="center" vertical="center"/>
    </xf>
    <xf numFmtId="0" fontId="7" fillId="0" borderId="82" xfId="4" applyFont="1" applyBorder="1" applyAlignment="1">
      <alignment horizontal="center" vertical="center"/>
    </xf>
    <xf numFmtId="0" fontId="7" fillId="0" borderId="83" xfId="4" applyFont="1" applyBorder="1" applyAlignment="1">
      <alignment horizontal="left" vertical="center"/>
    </xf>
    <xf numFmtId="0" fontId="7" fillId="0" borderId="84" xfId="4" applyFont="1" applyBorder="1" applyAlignment="1">
      <alignment horizontal="center" vertical="center"/>
    </xf>
    <xf numFmtId="0" fontId="7" fillId="0" borderId="85" xfId="4" applyFont="1" applyBorder="1" applyAlignment="1">
      <alignment horizontal="center" vertical="center"/>
    </xf>
    <xf numFmtId="0" fontId="7" fillId="0" borderId="86" xfId="4" applyFont="1" applyBorder="1" applyAlignment="1">
      <alignment horizontal="left" vertical="center"/>
    </xf>
    <xf numFmtId="0" fontId="7" fillId="0" borderId="87" xfId="4" applyFont="1" applyBorder="1" applyAlignment="1">
      <alignment horizontal="center" vertical="center"/>
    </xf>
    <xf numFmtId="0" fontId="7" fillId="0" borderId="88" xfId="4" applyFont="1" applyBorder="1" applyAlignment="1">
      <alignment horizontal="center" vertical="center"/>
    </xf>
    <xf numFmtId="0" fontId="7" fillId="0" borderId="89" xfId="4" applyFont="1" applyBorder="1" applyAlignment="1">
      <alignment horizontal="left" vertical="center"/>
    </xf>
    <xf numFmtId="0" fontId="7" fillId="0" borderId="90" xfId="4" applyFont="1" applyBorder="1" applyAlignment="1">
      <alignment horizontal="center" vertical="center"/>
    </xf>
    <xf numFmtId="0" fontId="7" fillId="0" borderId="91" xfId="4" applyFont="1" applyBorder="1" applyAlignment="1">
      <alignment horizontal="center" vertical="center"/>
    </xf>
    <xf numFmtId="0" fontId="7" fillId="0" borderId="92" xfId="4" applyFont="1" applyBorder="1" applyAlignment="1">
      <alignment horizontal="left" vertical="center"/>
    </xf>
    <xf numFmtId="0" fontId="7" fillId="0" borderId="93" xfId="4" applyFont="1" applyBorder="1" applyAlignment="1">
      <alignment horizontal="center" vertical="center"/>
    </xf>
    <xf numFmtId="0" fontId="7" fillId="0" borderId="94" xfId="4" applyFont="1" applyBorder="1" applyAlignment="1">
      <alignment horizontal="center" vertical="center"/>
    </xf>
    <xf numFmtId="0" fontId="7" fillId="0" borderId="95" xfId="4" applyFont="1" applyBorder="1" applyAlignment="1">
      <alignment horizontal="left" vertical="center"/>
    </xf>
    <xf numFmtId="0" fontId="7" fillId="0" borderId="96" xfId="4" applyFont="1" applyBorder="1" applyAlignment="1">
      <alignment horizontal="center" vertical="center"/>
    </xf>
    <xf numFmtId="0" fontId="7" fillId="0" borderId="97" xfId="4" applyFont="1" applyBorder="1" applyAlignment="1">
      <alignment horizontal="center" vertical="center"/>
    </xf>
    <xf numFmtId="0" fontId="7" fillId="0" borderId="98" xfId="4" applyFont="1" applyBorder="1" applyAlignment="1">
      <alignment horizontal="left" vertical="center"/>
    </xf>
    <xf numFmtId="0" fontId="7" fillId="0" borderId="99" xfId="4" applyFont="1" applyBorder="1" applyAlignment="1">
      <alignment horizontal="center" vertical="center"/>
    </xf>
    <xf numFmtId="0" fontId="7" fillId="0" borderId="100" xfId="4" applyFont="1" applyBorder="1" applyAlignment="1">
      <alignment horizontal="center" vertical="center"/>
    </xf>
    <xf numFmtId="0" fontId="7" fillId="0" borderId="101" xfId="4" applyFont="1" applyBorder="1" applyAlignment="1">
      <alignment horizontal="left" vertical="center"/>
    </xf>
    <xf numFmtId="0" fontId="7" fillId="0" borderId="102" xfId="4" applyFont="1" applyBorder="1" applyAlignment="1">
      <alignment horizontal="center" vertical="center"/>
    </xf>
    <xf numFmtId="0" fontId="7" fillId="0" borderId="103" xfId="4" applyFont="1" applyBorder="1" applyAlignment="1">
      <alignment horizontal="center" vertical="center"/>
    </xf>
    <xf numFmtId="0" fontId="7" fillId="0" borderId="104" xfId="4" applyFont="1" applyBorder="1" applyAlignment="1">
      <alignment horizontal="left" vertical="center"/>
    </xf>
    <xf numFmtId="0" fontId="7" fillId="0" borderId="105" xfId="4" applyFont="1" applyBorder="1" applyAlignment="1">
      <alignment horizontal="center" vertical="center"/>
    </xf>
    <xf numFmtId="0" fontId="7" fillId="0" borderId="106" xfId="4" applyFont="1" applyBorder="1" applyAlignment="1">
      <alignment horizontal="center" vertical="center"/>
    </xf>
    <xf numFmtId="0" fontId="7" fillId="0" borderId="107" xfId="4" applyFont="1" applyBorder="1" applyAlignment="1">
      <alignment horizontal="left" vertical="center"/>
    </xf>
    <xf numFmtId="0" fontId="7" fillId="0" borderId="108" xfId="4" applyFont="1" applyBorder="1" applyAlignment="1">
      <alignment horizontal="center" vertical="center"/>
    </xf>
    <xf numFmtId="0" fontId="7" fillId="0" borderId="109" xfId="4" applyFont="1" applyBorder="1" applyAlignment="1">
      <alignment horizontal="center" vertical="center"/>
    </xf>
    <xf numFmtId="0" fontId="7" fillId="0" borderId="110" xfId="4" applyFont="1" applyBorder="1" applyAlignment="1">
      <alignment horizontal="left" vertical="center"/>
    </xf>
    <xf numFmtId="0" fontId="7" fillId="0" borderId="111" xfId="4" applyFont="1" applyBorder="1" applyAlignment="1">
      <alignment horizontal="center" vertical="center"/>
    </xf>
    <xf numFmtId="0" fontId="7" fillId="0" borderId="112" xfId="4" applyFont="1" applyBorder="1" applyAlignment="1">
      <alignment horizontal="center" vertical="center"/>
    </xf>
    <xf numFmtId="0" fontId="7" fillId="0" borderId="113" xfId="4" applyFont="1" applyBorder="1" applyAlignment="1">
      <alignment horizontal="left" vertical="center"/>
    </xf>
    <xf numFmtId="0" fontId="7" fillId="0" borderId="114" xfId="4" applyFont="1" applyBorder="1" applyAlignment="1">
      <alignment horizontal="center" vertical="center"/>
    </xf>
    <xf numFmtId="0" fontId="7" fillId="0" borderId="115" xfId="4" applyFont="1" applyBorder="1" applyAlignment="1">
      <alignment horizontal="center" vertical="center"/>
    </xf>
    <xf numFmtId="0" fontId="7" fillId="0" borderId="116" xfId="4" applyFont="1" applyBorder="1" applyAlignment="1">
      <alignment horizontal="left" vertical="center"/>
    </xf>
    <xf numFmtId="0" fontId="7" fillId="0" borderId="117" xfId="4" applyFont="1" applyBorder="1" applyAlignment="1">
      <alignment horizontal="center" vertical="center"/>
    </xf>
    <xf numFmtId="0" fontId="7" fillId="0" borderId="118" xfId="4" applyFont="1" applyBorder="1" applyAlignment="1">
      <alignment horizontal="center" vertical="center"/>
    </xf>
    <xf numFmtId="0" fontId="7" fillId="0" borderId="119" xfId="4" applyFont="1" applyBorder="1" applyAlignment="1">
      <alignment horizontal="left" vertical="center"/>
    </xf>
    <xf numFmtId="0" fontId="7" fillId="0" borderId="120" xfId="4" applyFont="1" applyBorder="1" applyAlignment="1">
      <alignment horizontal="center" vertical="center"/>
    </xf>
    <xf numFmtId="0" fontId="7" fillId="0" borderId="121" xfId="4" applyFont="1" applyBorder="1" applyAlignment="1">
      <alignment horizontal="center" vertical="center"/>
    </xf>
    <xf numFmtId="0" fontId="7" fillId="0" borderId="122" xfId="4" applyFont="1" applyBorder="1" applyAlignment="1">
      <alignment horizontal="left" vertical="center"/>
    </xf>
    <xf numFmtId="0" fontId="7" fillId="0" borderId="123" xfId="4" applyFont="1" applyBorder="1" applyAlignment="1">
      <alignment horizontal="center" vertical="center"/>
    </xf>
    <xf numFmtId="0" fontId="7" fillId="0" borderId="124" xfId="4" applyFont="1" applyBorder="1" applyAlignment="1">
      <alignment horizontal="center" vertical="center"/>
    </xf>
    <xf numFmtId="0" fontId="7" fillId="0" borderId="125" xfId="4" applyFont="1" applyBorder="1" applyAlignment="1">
      <alignment horizontal="left" vertical="center"/>
    </xf>
    <xf numFmtId="0" fontId="7" fillId="0" borderId="126" xfId="4" applyFont="1" applyBorder="1" applyAlignment="1">
      <alignment horizontal="center" vertical="center"/>
    </xf>
    <xf numFmtId="0" fontId="7" fillId="0" borderId="127" xfId="4" applyFont="1" applyBorder="1" applyAlignment="1">
      <alignment horizontal="center" vertical="center"/>
    </xf>
    <xf numFmtId="0" fontId="7" fillId="0" borderId="128" xfId="4" applyFont="1" applyBorder="1" applyAlignment="1">
      <alignment horizontal="left" vertical="center"/>
    </xf>
    <xf numFmtId="0" fontId="7" fillId="0" borderId="129" xfId="4" applyFont="1" applyBorder="1" applyAlignment="1">
      <alignment horizontal="center" vertical="center"/>
    </xf>
    <xf numFmtId="0" fontId="7" fillId="0" borderId="130" xfId="4" applyFont="1" applyBorder="1" applyAlignment="1">
      <alignment horizontal="center" vertical="center"/>
    </xf>
    <xf numFmtId="0" fontId="7" fillId="0" borderId="131" xfId="4" applyFont="1" applyBorder="1" applyAlignment="1">
      <alignment vertical="center"/>
    </xf>
    <xf numFmtId="0" fontId="7" fillId="0" borderId="132" xfId="4" applyFont="1" applyBorder="1" applyAlignment="1">
      <alignment horizontal="center" vertical="center"/>
    </xf>
    <xf numFmtId="0" fontId="7" fillId="0" borderId="133" xfId="4" applyFont="1" applyBorder="1" applyAlignment="1">
      <alignment horizontal="center" vertical="center"/>
    </xf>
    <xf numFmtId="0" fontId="7" fillId="0" borderId="134" xfId="4" applyFont="1" applyBorder="1" applyAlignment="1">
      <alignment horizontal="center" vertical="center"/>
    </xf>
    <xf numFmtId="0" fontId="7" fillId="0" borderId="135" xfId="4" applyFont="1" applyBorder="1" applyAlignment="1">
      <alignment horizontal="center" vertical="center"/>
    </xf>
    <xf numFmtId="0" fontId="7" fillId="0" borderId="136" xfId="4" applyFont="1" applyBorder="1" applyAlignment="1">
      <alignment horizontal="center" vertical="center"/>
    </xf>
    <xf numFmtId="0" fontId="7" fillId="0" borderId="137" xfId="4" applyFont="1" applyBorder="1" applyAlignment="1">
      <alignment vertical="center"/>
    </xf>
    <xf numFmtId="0" fontId="7" fillId="0" borderId="138" xfId="4" applyFont="1" applyBorder="1" applyAlignment="1">
      <alignment horizontal="center" vertical="center"/>
    </xf>
    <xf numFmtId="0" fontId="7" fillId="0" borderId="139" xfId="4" applyFont="1" applyBorder="1" applyAlignment="1">
      <alignment horizontal="center" vertical="center"/>
    </xf>
    <xf numFmtId="0" fontId="7" fillId="0" borderId="140" xfId="4" applyFont="1" applyBorder="1" applyAlignment="1">
      <alignment vertical="center"/>
    </xf>
    <xf numFmtId="0" fontId="7" fillId="0" borderId="141" xfId="4" applyFont="1" applyBorder="1" applyAlignment="1">
      <alignment horizontal="center" vertical="center"/>
    </xf>
    <xf numFmtId="0" fontId="7" fillId="0" borderId="142" xfId="4" applyFont="1" applyBorder="1" applyAlignment="1">
      <alignment horizontal="center" vertical="center"/>
    </xf>
    <xf numFmtId="0" fontId="7" fillId="0" borderId="143" xfId="4" applyFont="1" applyBorder="1" applyAlignment="1">
      <alignment vertical="center"/>
    </xf>
    <xf numFmtId="0" fontId="7" fillId="0" borderId="144" xfId="4" applyFont="1" applyBorder="1" applyAlignment="1">
      <alignment horizontal="center" vertical="center"/>
    </xf>
    <xf numFmtId="0" fontId="7" fillId="0" borderId="145" xfId="4" applyFont="1" applyBorder="1" applyAlignment="1">
      <alignment horizontal="center" vertical="center"/>
    </xf>
    <xf numFmtId="0" fontId="7" fillId="0" borderId="145" xfId="4" applyFont="1" applyBorder="1" applyAlignment="1">
      <alignment vertical="center"/>
    </xf>
    <xf numFmtId="0" fontId="7" fillId="0" borderId="145" xfId="4" applyFont="1" applyBorder="1" applyAlignment="1">
      <alignment horizontal="left" vertical="center"/>
    </xf>
    <xf numFmtId="1" fontId="18" fillId="0" borderId="0" xfId="0" applyNumberFormat="1" applyFont="1" applyAlignment="1">
      <alignment horizontal="center" vertical="center"/>
    </xf>
    <xf numFmtId="165" fontId="40" fillId="7" borderId="25" xfId="4" applyNumberFormat="1" applyFont="1" applyFill="1" applyBorder="1" applyAlignment="1" applyProtection="1">
      <alignment horizontal="center" vertical="center"/>
      <protection locked="0"/>
    </xf>
    <xf numFmtId="1" fontId="40" fillId="7" borderId="25" xfId="4" applyNumberFormat="1" applyFont="1" applyFill="1" applyBorder="1" applyAlignment="1" applyProtection="1">
      <alignment horizontal="center" vertical="center"/>
      <protection locked="0"/>
    </xf>
    <xf numFmtId="10" fontId="40" fillId="7" borderId="25" xfId="4" applyNumberFormat="1" applyFont="1" applyFill="1" applyBorder="1" applyAlignment="1" applyProtection="1">
      <alignment horizontal="center" vertical="center"/>
      <protection locked="0"/>
    </xf>
    <xf numFmtId="172" fontId="40" fillId="7" borderId="25" xfId="4" applyNumberFormat="1" applyFont="1" applyFill="1" applyBorder="1" applyAlignment="1" applyProtection="1">
      <alignment horizontal="center" vertical="center"/>
      <protection locked="0"/>
    </xf>
    <xf numFmtId="165" fontId="40" fillId="7" borderId="147" xfId="4" applyNumberFormat="1" applyFont="1" applyFill="1" applyBorder="1" applyAlignment="1" applyProtection="1">
      <alignment horizontal="center" vertical="center"/>
      <protection locked="0"/>
    </xf>
    <xf numFmtId="173" fontId="11" fillId="0" borderId="25" xfId="0" applyNumberFormat="1" applyFont="1" applyBorder="1" applyAlignment="1">
      <alignment horizontal="center" vertical="center"/>
    </xf>
    <xf numFmtId="0" fontId="51" fillId="0" borderId="148" xfId="5" applyBorder="1"/>
    <xf numFmtId="0" fontId="51" fillId="0" borderId="149" xfId="5" applyBorder="1"/>
    <xf numFmtId="0" fontId="51" fillId="0" borderId="150" xfId="5" applyBorder="1"/>
    <xf numFmtId="165" fontId="11" fillId="9" borderId="25" xfId="0" applyNumberFormat="1" applyFont="1" applyFill="1" applyBorder="1" applyAlignment="1">
      <alignment horizontal="center" vertical="center"/>
    </xf>
    <xf numFmtId="165" fontId="11" fillId="9" borderId="25" xfId="0" applyNumberFormat="1" applyFont="1" applyFill="1" applyBorder="1" applyAlignment="1" applyProtection="1">
      <alignment horizontal="center" vertical="center"/>
      <protection locked="0"/>
    </xf>
    <xf numFmtId="0" fontId="32" fillId="0" borderId="3" xfId="0" applyFont="1" applyBorder="1" applyAlignment="1">
      <alignment horizontal="center" vertical="center" wrapText="1"/>
    </xf>
    <xf numFmtId="0" fontId="29" fillId="0" borderId="25" xfId="0" applyFont="1" applyBorder="1" applyAlignment="1">
      <alignment horizontal="center" vertical="center"/>
    </xf>
    <xf numFmtId="0" fontId="29" fillId="0" borderId="25" xfId="0" applyFont="1" applyBorder="1" applyAlignment="1">
      <alignment horizontal="center" vertical="center" wrapText="1"/>
    </xf>
    <xf numFmtId="0" fontId="29" fillId="0" borderId="6" xfId="0" applyFont="1" applyBorder="1" applyAlignment="1">
      <alignment horizontal="center" vertical="center" wrapText="1"/>
    </xf>
    <xf numFmtId="0" fontId="13" fillId="0" borderId="25" xfId="0" applyFont="1" applyBorder="1" applyAlignment="1">
      <alignment horizontal="center" vertical="center" wrapText="1"/>
    </xf>
    <xf numFmtId="0" fontId="43" fillId="0" borderId="147" xfId="0" applyFont="1" applyBorder="1" applyAlignment="1">
      <alignment horizontal="center" vertical="center" wrapText="1"/>
    </xf>
    <xf numFmtId="49" fontId="38" fillId="7" borderId="25" xfId="0" applyNumberFormat="1" applyFont="1" applyFill="1" applyBorder="1" applyAlignment="1" applyProtection="1">
      <alignment horizontal="center" vertical="center"/>
      <protection locked="0"/>
    </xf>
    <xf numFmtId="49" fontId="0" fillId="0" borderId="0" xfId="0" applyNumberFormat="1" applyAlignment="1">
      <alignment horizontal="center" vertical="center"/>
    </xf>
    <xf numFmtId="49" fontId="6" fillId="0" borderId="0" xfId="0" applyNumberFormat="1" applyFont="1" applyAlignment="1">
      <alignment horizontal="center" vertical="center"/>
    </xf>
    <xf numFmtId="49" fontId="39" fillId="7" borderId="25" xfId="0" applyNumberFormat="1" applyFont="1" applyFill="1" applyBorder="1" applyAlignment="1">
      <alignment horizontal="center" vertical="center"/>
    </xf>
    <xf numFmtId="165" fontId="39" fillId="7" borderId="25" xfId="0" applyNumberFormat="1" applyFont="1" applyFill="1" applyBorder="1" applyAlignment="1">
      <alignment horizontal="center" vertical="center"/>
    </xf>
    <xf numFmtId="0" fontId="18" fillId="0" borderId="26" xfId="0" applyFont="1" applyBorder="1" applyAlignment="1">
      <alignment horizontal="center"/>
    </xf>
    <xf numFmtId="10" fontId="39" fillId="7" borderId="26" xfId="0" applyNumberFormat="1" applyFont="1" applyFill="1" applyBorder="1" applyAlignment="1">
      <alignment horizontal="center"/>
    </xf>
    <xf numFmtId="0" fontId="51" fillId="0" borderId="0" xfId="5" applyBorder="1"/>
    <xf numFmtId="0" fontId="52" fillId="0" borderId="0" xfId="0" applyFont="1"/>
    <xf numFmtId="171" fontId="53" fillId="8" borderId="25" xfId="0" applyNumberFormat="1" applyFont="1" applyFill="1" applyBorder="1" applyAlignment="1">
      <alignment horizontal="center" vertical="center"/>
    </xf>
    <xf numFmtId="0" fontId="53" fillId="0" borderId="25" xfId="0" applyFont="1" applyBorder="1"/>
    <xf numFmtId="168" fontId="53" fillId="8" borderId="25" xfId="0" applyNumberFormat="1" applyFont="1" applyFill="1" applyBorder="1" applyAlignment="1">
      <alignment horizontal="center" vertical="center"/>
    </xf>
    <xf numFmtId="9" fontId="42" fillId="0" borderId="0" xfId="2" applyFont="1" applyBorder="1" applyAlignment="1">
      <alignment horizontal="center" vertical="center"/>
    </xf>
    <xf numFmtId="1" fontId="43" fillId="0" borderId="25" xfId="0" applyNumberFormat="1" applyFont="1" applyBorder="1" applyAlignment="1">
      <alignment horizontal="center" vertical="center" wrapText="1"/>
    </xf>
    <xf numFmtId="0" fontId="43" fillId="0" borderId="25" xfId="0" applyFont="1" applyBorder="1" applyAlignment="1">
      <alignment horizontal="center" vertical="center" wrapText="1"/>
    </xf>
    <xf numFmtId="0" fontId="39" fillId="7" borderId="2" xfId="0" applyFont="1" applyFill="1" applyBorder="1" applyAlignment="1">
      <alignment horizontal="center" vertical="center"/>
    </xf>
    <xf numFmtId="0" fontId="17" fillId="0" borderId="2" xfId="0" applyFont="1" applyBorder="1" applyAlignment="1">
      <alignment horizontal="center" vertical="center"/>
    </xf>
    <xf numFmtId="0" fontId="17" fillId="0" borderId="2" xfId="0" applyFont="1" applyBorder="1" applyAlignment="1">
      <alignment horizontal="center" vertical="center" wrapText="1"/>
    </xf>
    <xf numFmtId="2" fontId="17" fillId="0" borderId="2" xfId="0" applyNumberFormat="1" applyFont="1" applyBorder="1" applyAlignment="1">
      <alignment horizontal="center" vertical="center" wrapText="1"/>
    </xf>
    <xf numFmtId="1" fontId="17" fillId="0" borderId="2" xfId="0" applyNumberFormat="1" applyFont="1" applyBorder="1" applyAlignment="1">
      <alignment horizontal="center" vertical="center" wrapText="1"/>
    </xf>
    <xf numFmtId="49" fontId="39" fillId="7" borderId="2" xfId="0" applyNumberFormat="1" applyFont="1" applyFill="1" applyBorder="1" applyAlignment="1">
      <alignment horizontal="center" vertical="center"/>
    </xf>
    <xf numFmtId="1" fontId="39" fillId="7" borderId="2" xfId="0" applyNumberFormat="1" applyFont="1" applyFill="1" applyBorder="1" applyAlignment="1">
      <alignment horizontal="center" vertical="center"/>
    </xf>
    <xf numFmtId="0" fontId="43" fillId="0" borderId="25" xfId="0" applyFont="1" applyBorder="1" applyAlignment="1">
      <alignment horizontal="center" vertical="center"/>
    </xf>
    <xf numFmtId="0" fontId="32" fillId="0" borderId="2" xfId="0" applyFont="1" applyBorder="1" applyAlignment="1">
      <alignment horizontal="center" vertical="center" wrapText="1"/>
    </xf>
    <xf numFmtId="0" fontId="34" fillId="0" borderId="0" xfId="0" applyFont="1" applyAlignment="1">
      <alignment vertical="center"/>
    </xf>
    <xf numFmtId="0" fontId="15" fillId="0" borderId="25" xfId="0" applyFont="1" applyBorder="1" applyAlignment="1">
      <alignment horizontal="center" vertical="center" wrapText="1"/>
    </xf>
    <xf numFmtId="0" fontId="10" fillId="0" borderId="25" xfId="0" applyFont="1" applyBorder="1" applyAlignment="1">
      <alignment horizontal="center" vertical="center" wrapText="1"/>
    </xf>
    <xf numFmtId="1" fontId="5" fillId="0" borderId="25" xfId="0" applyNumberFormat="1" applyFont="1" applyBorder="1" applyAlignment="1">
      <alignment horizontal="center" vertical="center" wrapText="1"/>
    </xf>
    <xf numFmtId="0" fontId="15" fillId="0" borderId="0" xfId="0" applyFont="1" applyAlignment="1">
      <alignment wrapText="1"/>
    </xf>
    <xf numFmtId="1" fontId="4" fillId="0" borderId="25" xfId="0" applyNumberFormat="1" applyFont="1" applyBorder="1" applyAlignment="1">
      <alignment horizontal="center" vertical="center" wrapText="1"/>
    </xf>
    <xf numFmtId="167" fontId="40" fillId="7" borderId="25" xfId="4" applyNumberFormat="1" applyFont="1" applyFill="1" applyBorder="1" applyAlignment="1" applyProtection="1">
      <alignment horizontal="center" vertical="center"/>
      <protection locked="0"/>
    </xf>
    <xf numFmtId="4" fontId="40" fillId="7" borderId="25" xfId="4" applyNumberFormat="1" applyFont="1" applyFill="1" applyBorder="1" applyAlignment="1" applyProtection="1">
      <alignment horizontal="center" vertical="center"/>
      <protection locked="0"/>
    </xf>
    <xf numFmtId="0" fontId="6" fillId="0" borderId="2" xfId="4" applyBorder="1" applyAlignment="1" applyProtection="1">
      <alignment horizontal="center" vertical="center" wrapText="1"/>
      <protection hidden="1"/>
    </xf>
    <xf numFmtId="0" fontId="6" fillId="0" borderId="12" xfId="4" applyBorder="1" applyAlignment="1" applyProtection="1">
      <alignment horizontal="center" vertical="center"/>
      <protection hidden="1"/>
    </xf>
    <xf numFmtId="0" fontId="6" fillId="0" borderId="0" xfId="4" applyProtection="1">
      <protection hidden="1"/>
    </xf>
    <xf numFmtId="165" fontId="6" fillId="0" borderId="21" xfId="4" applyNumberFormat="1" applyBorder="1" applyAlignment="1" applyProtection="1">
      <alignment horizontal="center" vertical="center"/>
      <protection hidden="1"/>
    </xf>
    <xf numFmtId="3" fontId="6" fillId="0" borderId="0" xfId="4" applyNumberFormat="1" applyAlignment="1" applyProtection="1">
      <alignment horizontal="center" vertical="center"/>
      <protection hidden="1"/>
    </xf>
    <xf numFmtId="167" fontId="6" fillId="0" borderId="0" xfId="4" applyNumberFormat="1" applyAlignment="1" applyProtection="1">
      <alignment horizontal="center" vertical="center"/>
      <protection hidden="1"/>
    </xf>
    <xf numFmtId="165" fontId="6" fillId="0" borderId="0" xfId="4" applyNumberFormat="1" applyAlignment="1" applyProtection="1">
      <alignment horizontal="center" vertical="center"/>
      <protection hidden="1"/>
    </xf>
    <xf numFmtId="0" fontId="6" fillId="0" borderId="25" xfId="4" applyBorder="1" applyProtection="1">
      <protection hidden="1"/>
    </xf>
    <xf numFmtId="0" fontId="6" fillId="0" borderId="25" xfId="4" applyBorder="1" applyAlignment="1" applyProtection="1">
      <alignment horizontal="center" vertical="center"/>
      <protection hidden="1"/>
    </xf>
    <xf numFmtId="0" fontId="6" fillId="0" borderId="25" xfId="4" applyBorder="1" applyAlignment="1" applyProtection="1">
      <alignment horizontal="center" vertical="center" wrapText="1"/>
      <protection hidden="1"/>
    </xf>
    <xf numFmtId="4" fontId="6" fillId="0" borderId="25" xfId="4" applyNumberFormat="1" applyBorder="1" applyAlignment="1" applyProtection="1">
      <alignment horizontal="center" vertical="center"/>
      <protection hidden="1"/>
    </xf>
    <xf numFmtId="4" fontId="11" fillId="0" borderId="25" xfId="4" applyNumberFormat="1" applyFont="1" applyBorder="1" applyAlignment="1" applyProtection="1">
      <alignment horizontal="center" vertical="center"/>
      <protection hidden="1"/>
    </xf>
    <xf numFmtId="3" fontId="6" fillId="0" borderId="25" xfId="4" applyNumberForma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6" fillId="0" borderId="25" xfId="0" applyFont="1" applyBorder="1" applyAlignment="1" applyProtection="1">
      <alignment horizontal="center" vertical="center"/>
      <protection hidden="1"/>
    </xf>
    <xf numFmtId="0" fontId="3" fillId="0" borderId="0" xfId="6"/>
    <xf numFmtId="0" fontId="3" fillId="0" borderId="0" xfId="6" applyAlignment="1">
      <alignment horizontal="center" vertical="center"/>
    </xf>
    <xf numFmtId="0" fontId="54" fillId="0" borderId="0" xfId="6" applyFont="1" applyAlignment="1">
      <alignment horizontal="center" vertical="center" wrapText="1"/>
    </xf>
    <xf numFmtId="0" fontId="3" fillId="0" borderId="0" xfId="6" applyAlignment="1">
      <alignment vertical="center" wrapText="1"/>
    </xf>
    <xf numFmtId="0" fontId="11" fillId="0" borderId="0" xfId="6" applyFont="1" applyAlignment="1">
      <alignment horizontal="center" vertical="center" wrapText="1"/>
    </xf>
    <xf numFmtId="168" fontId="0" fillId="0" borderId="0" xfId="0" applyNumberFormat="1"/>
    <xf numFmtId="0" fontId="32" fillId="0" borderId="0" xfId="0" applyFont="1" applyAlignment="1">
      <alignment horizontal="center" vertical="center" wrapText="1"/>
    </xf>
    <xf numFmtId="0" fontId="58" fillId="0" borderId="0" xfId="6" applyFont="1"/>
    <xf numFmtId="0" fontId="10" fillId="0" borderId="0" xfId="6" applyFont="1"/>
    <xf numFmtId="170" fontId="43" fillId="0" borderId="21" xfId="0" applyNumberFormat="1" applyFont="1" applyBorder="1" applyAlignment="1">
      <alignment horizontal="center" vertical="center"/>
    </xf>
    <xf numFmtId="169" fontId="43" fillId="0" borderId="21" xfId="0" applyNumberFormat="1" applyFont="1" applyBorder="1" applyAlignment="1">
      <alignment horizontal="center" vertical="center"/>
    </xf>
    <xf numFmtId="0" fontId="39" fillId="0" borderId="21" xfId="0" applyFont="1" applyBorder="1" applyAlignment="1">
      <alignment horizontal="center" vertical="center"/>
    </xf>
    <xf numFmtId="0" fontId="44" fillId="0" borderId="21" xfId="0" applyFont="1" applyBorder="1" applyAlignment="1">
      <alignment horizontal="center" vertical="center"/>
    </xf>
    <xf numFmtId="168" fontId="43" fillId="0" borderId="21" xfId="0" applyNumberFormat="1" applyFont="1" applyBorder="1" applyAlignment="1">
      <alignment horizontal="center" vertical="center"/>
    </xf>
    <xf numFmtId="0" fontId="44" fillId="0" borderId="21" xfId="0" applyFont="1" applyBorder="1" applyAlignment="1">
      <alignment horizontal="center" vertical="center" wrapText="1"/>
    </xf>
    <xf numFmtId="168" fontId="44" fillId="0" borderId="21" xfId="0" applyNumberFormat="1" applyFont="1" applyBorder="1" applyAlignment="1">
      <alignment horizontal="center" vertical="center" wrapText="1"/>
    </xf>
    <xf numFmtId="171" fontId="44" fillId="0" borderId="21" xfId="0" applyNumberFormat="1" applyFont="1" applyBorder="1" applyAlignment="1">
      <alignment horizontal="center" vertical="center" wrapText="1"/>
    </xf>
    <xf numFmtId="0" fontId="43" fillId="0" borderId="147" xfId="0" applyFont="1" applyBorder="1" applyAlignment="1">
      <alignment horizontal="center" vertical="center"/>
    </xf>
    <xf numFmtId="170" fontId="43" fillId="0" borderId="147" xfId="0" applyNumberFormat="1" applyFont="1" applyBorder="1" applyAlignment="1">
      <alignment horizontal="center" vertical="center"/>
    </xf>
    <xf numFmtId="169" fontId="43" fillId="0" borderId="147" xfId="0" applyNumberFormat="1" applyFont="1" applyBorder="1" applyAlignment="1">
      <alignment horizontal="center" vertical="center"/>
    </xf>
    <xf numFmtId="0" fontId="39" fillId="0" borderId="147" xfId="0" applyFont="1" applyBorder="1" applyAlignment="1">
      <alignment horizontal="center" vertical="center"/>
    </xf>
    <xf numFmtId="0" fontId="44" fillId="0" borderId="147" xfId="0" applyFont="1" applyBorder="1" applyAlignment="1">
      <alignment horizontal="center" vertical="center"/>
    </xf>
    <xf numFmtId="168" fontId="43" fillId="0" borderId="147" xfId="0" applyNumberFormat="1" applyFont="1" applyBorder="1" applyAlignment="1">
      <alignment horizontal="center" vertical="center"/>
    </xf>
    <xf numFmtId="168" fontId="44" fillId="0" borderId="147" xfId="0" applyNumberFormat="1" applyFont="1" applyBorder="1" applyAlignment="1">
      <alignment horizontal="center" vertical="center" wrapText="1"/>
    </xf>
    <xf numFmtId="0" fontId="44" fillId="0" borderId="147" xfId="0" applyFont="1" applyBorder="1" applyAlignment="1">
      <alignment horizontal="center" vertical="center" wrapText="1"/>
    </xf>
    <xf numFmtId="0" fontId="59" fillId="0" borderId="0" xfId="0" applyFont="1"/>
    <xf numFmtId="1" fontId="18" fillId="0" borderId="21" xfId="0" applyNumberFormat="1" applyFont="1" applyBorder="1" applyAlignment="1">
      <alignment horizontal="center" vertical="center" wrapText="1"/>
    </xf>
    <xf numFmtId="1" fontId="39" fillId="7" borderId="26" xfId="0" applyNumberFormat="1" applyFont="1" applyFill="1" applyBorder="1" applyAlignment="1">
      <alignment horizontal="center" vertical="center"/>
    </xf>
    <xf numFmtId="0" fontId="2" fillId="0" borderId="0" xfId="7"/>
    <xf numFmtId="0" fontId="2" fillId="0" borderId="0" xfId="7" applyAlignment="1">
      <alignment wrapText="1"/>
    </xf>
    <xf numFmtId="0" fontId="10" fillId="0" borderId="0" xfId="7" applyFont="1" applyAlignment="1">
      <alignment horizontal="left" vertical="center"/>
    </xf>
    <xf numFmtId="0" fontId="10" fillId="0" borderId="0" xfId="7" applyFont="1" applyAlignment="1">
      <alignment horizontal="left" vertical="center" wrapText="1"/>
    </xf>
    <xf numFmtId="0" fontId="7" fillId="0" borderId="25" xfId="0" applyFont="1" applyBorder="1" applyAlignment="1">
      <alignment horizontal="center" vertical="center" wrapText="1"/>
    </xf>
    <xf numFmtId="49" fontId="6" fillId="0" borderId="147" xfId="0" applyNumberFormat="1" applyFont="1" applyBorder="1" applyAlignment="1">
      <alignment horizontal="center" vertical="center" wrapText="1"/>
    </xf>
    <xf numFmtId="167" fontId="11" fillId="0" borderId="2" xfId="0" applyNumberFormat="1" applyFont="1" applyBorder="1" applyAlignment="1">
      <alignment horizontal="center" vertical="center"/>
    </xf>
    <xf numFmtId="49" fontId="10" fillId="0" borderId="149" xfId="0" applyNumberFormat="1" applyFont="1" applyBorder="1" applyAlignment="1">
      <alignment horizontal="center" vertical="center"/>
    </xf>
    <xf numFmtId="0" fontId="10" fillId="0" borderId="149" xfId="0" applyFont="1" applyBorder="1" applyAlignment="1">
      <alignment horizontal="center" vertical="center"/>
    </xf>
    <xf numFmtId="12" fontId="0" fillId="0" borderId="0" xfId="0" applyNumberFormat="1" applyAlignment="1">
      <alignment horizontal="center"/>
    </xf>
    <xf numFmtId="49" fontId="39" fillId="7" borderId="25" xfId="0" applyNumberFormat="1" applyFont="1" applyFill="1" applyBorder="1" applyAlignment="1" applyProtection="1">
      <alignment horizontal="center" vertical="center"/>
      <protection locked="0"/>
    </xf>
    <xf numFmtId="12" fontId="18" fillId="0" borderId="25" xfId="0" applyNumberFormat="1" applyFont="1" applyBorder="1" applyAlignment="1" applyProtection="1">
      <alignment horizontal="center" vertical="center"/>
      <protection locked="0"/>
    </xf>
    <xf numFmtId="12" fontId="18" fillId="0" borderId="25" xfId="0" applyNumberFormat="1" applyFont="1" applyBorder="1" applyAlignment="1">
      <alignment horizontal="center" vertical="center"/>
    </xf>
    <xf numFmtId="0" fontId="18" fillId="0" borderId="25" xfId="0" applyFont="1" applyBorder="1"/>
    <xf numFmtId="0" fontId="18" fillId="0" borderId="25" xfId="0" applyFont="1" applyBorder="1" applyAlignment="1">
      <alignment vertical="center"/>
    </xf>
    <xf numFmtId="0" fontId="17" fillId="2" borderId="13" xfId="0" applyFont="1" applyFill="1" applyBorder="1" applyAlignment="1" applyProtection="1">
      <alignment horizontal="center" vertical="center" wrapText="1"/>
      <protection locked="0"/>
    </xf>
    <xf numFmtId="174" fontId="6" fillId="0" borderId="0" xfId="0" applyNumberFormat="1" applyFont="1" applyAlignment="1">
      <alignment horizontal="center" vertical="center"/>
    </xf>
    <xf numFmtId="174" fontId="0" fillId="0" borderId="0" xfId="0" applyNumberFormat="1" applyAlignment="1">
      <alignment horizontal="center" vertical="center"/>
    </xf>
    <xf numFmtId="0" fontId="6" fillId="0" borderId="6" xfId="0" applyFont="1" applyBorder="1"/>
    <xf numFmtId="0" fontId="6" fillId="0" borderId="25" xfId="0" applyFont="1" applyBorder="1"/>
    <xf numFmtId="0" fontId="1" fillId="0" borderId="25" xfId="8" applyBorder="1" applyAlignment="1">
      <alignment horizontal="center" vertical="center"/>
    </xf>
    <xf numFmtId="0" fontId="1" fillId="0" borderId="25" xfId="8" applyBorder="1"/>
    <xf numFmtId="0" fontId="1" fillId="0" borderId="25" xfId="8" applyBorder="1" applyAlignment="1">
      <alignment horizontal="center"/>
    </xf>
    <xf numFmtId="0" fontId="1" fillId="0" borderId="26" xfId="8" applyBorder="1"/>
    <xf numFmtId="0" fontId="64" fillId="0" borderId="25" xfId="8" applyFont="1" applyBorder="1" applyAlignment="1">
      <alignment vertical="top"/>
    </xf>
    <xf numFmtId="0" fontId="1" fillId="0" borderId="3" xfId="8" applyBorder="1"/>
    <xf numFmtId="0" fontId="63" fillId="0" borderId="25" xfId="8" applyFont="1" applyBorder="1" applyAlignment="1">
      <alignment vertical="top" wrapText="1"/>
    </xf>
    <xf numFmtId="0" fontId="1" fillId="2" borderId="25" xfId="8" applyFill="1" applyBorder="1"/>
    <xf numFmtId="0" fontId="1" fillId="0" borderId="25" xfId="8" applyBorder="1" applyAlignment="1">
      <alignment horizontal="left" vertical="top"/>
    </xf>
    <xf numFmtId="0" fontId="1" fillId="0" borderId="25" xfId="8" applyBorder="1" applyAlignment="1">
      <alignment wrapText="1"/>
    </xf>
    <xf numFmtId="0" fontId="64" fillId="0" borderId="25" xfId="8" applyFont="1" applyBorder="1" applyAlignment="1">
      <alignment vertical="top" wrapText="1"/>
    </xf>
    <xf numFmtId="0" fontId="1" fillId="0" borderId="2" xfId="8" applyBorder="1"/>
    <xf numFmtId="0" fontId="63" fillId="0" borderId="6" xfId="8" applyFont="1" applyBorder="1" applyAlignment="1">
      <alignment vertical="top" wrapText="1"/>
    </xf>
    <xf numFmtId="0" fontId="1" fillId="0" borderId="3" xfId="8" applyBorder="1" applyAlignment="1">
      <alignment horizontal="center"/>
    </xf>
    <xf numFmtId="0" fontId="1" fillId="0" borderId="6" xfId="8" applyBorder="1" applyAlignment="1">
      <alignment horizontal="center"/>
    </xf>
    <xf numFmtId="0" fontId="63" fillId="0" borderId="3" xfId="8" applyFont="1" applyBorder="1" applyAlignment="1">
      <alignment vertical="top" wrapText="1"/>
    </xf>
    <xf numFmtId="0" fontId="63" fillId="0" borderId="25" xfId="8" applyFont="1" applyBorder="1"/>
    <xf numFmtId="0" fontId="13" fillId="0" borderId="12" xfId="8" applyFont="1" applyBorder="1" applyAlignment="1">
      <alignment horizontal="center" vertical="center" wrapText="1"/>
    </xf>
    <xf numFmtId="0" fontId="13" fillId="0" borderId="2" xfId="8" applyFont="1" applyBorder="1" applyAlignment="1">
      <alignment horizontal="center" vertical="center" wrapText="1"/>
    </xf>
    <xf numFmtId="0" fontId="13" fillId="0" borderId="13" xfId="8" applyFont="1" applyBorder="1" applyAlignment="1">
      <alignment horizontal="center" vertical="center" wrapText="1"/>
    </xf>
    <xf numFmtId="0" fontId="13" fillId="0" borderId="2" xfId="8" applyFont="1" applyBorder="1" applyAlignment="1">
      <alignment horizontal="center" vertical="center"/>
    </xf>
    <xf numFmtId="0" fontId="13" fillId="0" borderId="12" xfId="8" applyFont="1" applyBorder="1" applyAlignment="1">
      <alignment horizontal="center" vertical="center"/>
    </xf>
    <xf numFmtId="0" fontId="62" fillId="0" borderId="6" xfId="8" applyFont="1" applyBorder="1" applyAlignment="1">
      <alignment horizontal="left" vertical="center" wrapText="1"/>
    </xf>
    <xf numFmtId="0" fontId="62" fillId="0" borderId="6" xfId="8" applyFont="1" applyBorder="1" applyAlignment="1">
      <alignment horizontal="center" vertical="center" wrapText="1"/>
    </xf>
    <xf numFmtId="0" fontId="62" fillId="0" borderId="25" xfId="8" applyFont="1" applyBorder="1" applyAlignment="1">
      <alignment horizontal="center" vertical="center" wrapText="1"/>
    </xf>
    <xf numFmtId="0" fontId="62" fillId="0" borderId="3" xfId="8" applyFont="1" applyBorder="1" applyAlignment="1">
      <alignment horizontal="center" vertical="center" wrapText="1"/>
    </xf>
    <xf numFmtId="0" fontId="62" fillId="0" borderId="25" xfId="8" applyFont="1" applyBorder="1" applyAlignment="1">
      <alignment horizontal="left" vertical="center" wrapText="1"/>
    </xf>
    <xf numFmtId="0" fontId="62" fillId="0" borderId="25" xfId="8" applyFont="1" applyBorder="1" applyAlignment="1">
      <alignment horizontal="left" vertical="top" wrapText="1"/>
    </xf>
    <xf numFmtId="0" fontId="62" fillId="0" borderId="6" xfId="8" applyFont="1" applyBorder="1" applyAlignment="1">
      <alignment horizontal="left" vertical="top" wrapText="1"/>
    </xf>
    <xf numFmtId="0" fontId="62" fillId="0" borderId="3" xfId="8" applyFont="1" applyBorder="1" applyAlignment="1">
      <alignment horizontal="left" vertical="top" wrapText="1"/>
    </xf>
    <xf numFmtId="0" fontId="62" fillId="0" borderId="25" xfId="8" applyFont="1" applyBorder="1" applyAlignment="1">
      <alignment horizontal="left" vertical="top"/>
    </xf>
    <xf numFmtId="0" fontId="13" fillId="0" borderId="6" xfId="8" applyFont="1" applyBorder="1" applyAlignment="1">
      <alignment horizontal="left" vertical="center" wrapText="1"/>
    </xf>
    <xf numFmtId="0" fontId="13" fillId="0" borderId="25" xfId="8" applyFont="1" applyBorder="1" applyAlignment="1">
      <alignment horizontal="center" vertical="center" wrapText="1"/>
    </xf>
    <xf numFmtId="0" fontId="62" fillId="0" borderId="6" xfId="8" applyFont="1" applyBorder="1" applyAlignment="1">
      <alignment horizontal="center" vertical="center"/>
    </xf>
    <xf numFmtId="3" fontId="13" fillId="0" borderId="6" xfId="8" applyNumberFormat="1" applyFont="1" applyBorder="1" applyAlignment="1">
      <alignment horizontal="left" vertical="center" wrapText="1"/>
    </xf>
    <xf numFmtId="0" fontId="13" fillId="0" borderId="3" xfId="8" applyFont="1" applyBorder="1" applyAlignment="1">
      <alignment horizontal="left" vertical="top" wrapText="1"/>
    </xf>
    <xf numFmtId="3" fontId="62" fillId="0" borderId="6" xfId="8" applyNumberFormat="1" applyFont="1" applyBorder="1" applyAlignment="1">
      <alignment horizontal="left" vertical="center" wrapText="1"/>
    </xf>
    <xf numFmtId="0" fontId="13" fillId="0" borderId="3" xfId="8" applyFont="1" applyBorder="1" applyAlignment="1">
      <alignment horizontal="center" vertical="center" wrapText="1"/>
    </xf>
    <xf numFmtId="0" fontId="62" fillId="0" borderId="27" xfId="8" applyFont="1" applyBorder="1" applyAlignment="1">
      <alignment horizontal="left" vertical="center" wrapText="1"/>
    </xf>
    <xf numFmtId="0" fontId="62" fillId="0" borderId="25" xfId="8" applyFont="1" applyBorder="1" applyAlignment="1">
      <alignment horizontal="center" vertical="center"/>
    </xf>
    <xf numFmtId="0" fontId="62" fillId="0" borderId="25" xfId="8" quotePrefix="1" applyFont="1" applyBorder="1" applyAlignment="1">
      <alignment horizontal="center" vertical="center" wrapText="1"/>
    </xf>
    <xf numFmtId="0" fontId="62" fillId="0" borderId="24" xfId="8" applyFont="1" applyBorder="1" applyAlignment="1">
      <alignment horizontal="center" vertical="center" wrapText="1"/>
    </xf>
    <xf numFmtId="0" fontId="62" fillId="0" borderId="26" xfId="8" applyFont="1" applyBorder="1" applyAlignment="1">
      <alignment horizontal="center" vertical="center" wrapText="1"/>
    </xf>
    <xf numFmtId="0" fontId="62" fillId="0" borderId="5" xfId="8" applyFont="1" applyBorder="1" applyAlignment="1">
      <alignment horizontal="center" vertical="center" wrapText="1"/>
    </xf>
    <xf numFmtId="0" fontId="13" fillId="0" borderId="27" xfId="8" applyFont="1" applyBorder="1" applyAlignment="1">
      <alignment horizontal="left" vertical="center" wrapText="1"/>
    </xf>
    <xf numFmtId="3" fontId="13" fillId="0" borderId="25" xfId="8" applyNumberFormat="1" applyFont="1" applyBorder="1" applyAlignment="1">
      <alignment horizontal="center" vertical="center" wrapText="1"/>
    </xf>
    <xf numFmtId="9" fontId="62" fillId="0" borderId="25" xfId="8" applyNumberFormat="1" applyFont="1" applyBorder="1" applyAlignment="1">
      <alignment horizontal="center" vertical="center" wrapText="1"/>
    </xf>
    <xf numFmtId="0" fontId="62" fillId="0" borderId="13" xfId="8" applyFont="1" applyBorder="1" applyAlignment="1">
      <alignment horizontal="center" vertical="center" wrapText="1"/>
    </xf>
    <xf numFmtId="0" fontId="62" fillId="0" borderId="2" xfId="8" applyFont="1" applyBorder="1" applyAlignment="1">
      <alignment horizontal="center" vertical="center" wrapText="1"/>
    </xf>
    <xf numFmtId="0" fontId="62" fillId="0" borderId="26" xfId="8" applyFont="1" applyBorder="1" applyAlignment="1">
      <alignment horizontal="left" vertical="top" wrapText="1"/>
    </xf>
    <xf numFmtId="0" fontId="62" fillId="0" borderId="27" xfId="8" applyFont="1" applyBorder="1" applyAlignment="1">
      <alignment horizontal="left" vertical="top" wrapText="1"/>
    </xf>
    <xf numFmtId="0" fontId="32" fillId="0" borderId="25" xfId="8" applyFont="1" applyBorder="1" applyAlignment="1">
      <alignment horizontal="left" vertical="top" wrapText="1"/>
    </xf>
    <xf numFmtId="0" fontId="32" fillId="0" borderId="6" xfId="8" applyFont="1" applyBorder="1" applyAlignment="1">
      <alignment horizontal="left" vertical="top" wrapText="1"/>
    </xf>
    <xf numFmtId="0" fontId="62" fillId="2" borderId="6" xfId="8" applyFont="1" applyFill="1" applyBorder="1" applyAlignment="1">
      <alignment horizontal="left" vertical="center" wrapText="1"/>
    </xf>
    <xf numFmtId="0" fontId="62" fillId="2" borderId="6" xfId="8" applyFont="1" applyFill="1" applyBorder="1" applyAlignment="1">
      <alignment horizontal="center" vertical="center" wrapText="1"/>
    </xf>
    <xf numFmtId="0" fontId="62" fillId="2" borderId="25" xfId="8" applyFont="1" applyFill="1" applyBorder="1" applyAlignment="1">
      <alignment horizontal="center" vertical="center" wrapText="1"/>
    </xf>
    <xf numFmtId="0" fontId="62" fillId="2" borderId="3" xfId="8" applyFont="1" applyFill="1" applyBorder="1" applyAlignment="1">
      <alignment horizontal="center" vertical="center" wrapText="1"/>
    </xf>
    <xf numFmtId="0" fontId="62" fillId="2" borderId="25" xfId="8" applyFont="1" applyFill="1" applyBorder="1" applyAlignment="1">
      <alignment horizontal="left" vertical="top" wrapText="1"/>
    </xf>
    <xf numFmtId="0" fontId="62" fillId="2" borderId="3" xfId="8" applyFont="1" applyFill="1" applyBorder="1" applyAlignment="1">
      <alignment horizontal="left" vertical="top" wrapText="1"/>
    </xf>
    <xf numFmtId="0" fontId="62" fillId="2" borderId="25" xfId="8" applyFont="1" applyFill="1" applyBorder="1" applyAlignment="1">
      <alignment horizontal="left" vertical="top"/>
    </xf>
    <xf numFmtId="0" fontId="62" fillId="2" borderId="6" xfId="8" applyFont="1" applyFill="1" applyBorder="1" applyAlignment="1">
      <alignment horizontal="left" vertical="top" wrapText="1"/>
    </xf>
    <xf numFmtId="0" fontId="62" fillId="2" borderId="25" xfId="8" quotePrefix="1" applyFont="1" applyFill="1" applyBorder="1" applyAlignment="1">
      <alignment horizontal="center" vertical="center" wrapText="1"/>
    </xf>
    <xf numFmtId="0" fontId="13" fillId="0" borderId="151" xfId="8" applyFont="1" applyBorder="1" applyAlignment="1">
      <alignment horizontal="left" vertical="center" wrapText="1"/>
    </xf>
    <xf numFmtId="0" fontId="62" fillId="0" borderId="151" xfId="8" applyFont="1" applyBorder="1" applyAlignment="1">
      <alignment horizontal="left" vertical="center" wrapText="1"/>
    </xf>
    <xf numFmtId="0" fontId="62" fillId="0" borderId="152" xfId="8" applyFont="1" applyBorder="1" applyAlignment="1">
      <alignment horizontal="left" vertical="top" wrapText="1"/>
    </xf>
    <xf numFmtId="0" fontId="62" fillId="0" borderId="3" xfId="8" applyFont="1" applyBorder="1" applyAlignment="1">
      <alignment horizontal="center" vertical="center"/>
    </xf>
    <xf numFmtId="0" fontId="62" fillId="0" borderId="24" xfId="8" applyFont="1" applyBorder="1" applyAlignment="1">
      <alignment horizontal="left" vertical="top" wrapText="1"/>
    </xf>
    <xf numFmtId="0" fontId="62" fillId="0" borderId="26" xfId="8" applyFont="1" applyBorder="1" applyAlignment="1">
      <alignment horizontal="left" vertical="top"/>
    </xf>
    <xf numFmtId="0" fontId="62" fillId="0" borderId="2" xfId="8" applyFont="1" applyBorder="1" applyAlignment="1">
      <alignment horizontal="left" vertical="top" wrapText="1"/>
    </xf>
    <xf numFmtId="0" fontId="32" fillId="0" borderId="25" xfId="8" applyFont="1" applyBorder="1" applyAlignment="1">
      <alignment horizontal="left" vertical="top"/>
    </xf>
    <xf numFmtId="0" fontId="32" fillId="0" borderId="3" xfId="8" applyFont="1" applyBorder="1" applyAlignment="1">
      <alignment horizontal="left" vertical="top"/>
    </xf>
    <xf numFmtId="0" fontId="62" fillId="0" borderId="5" xfId="8" applyFont="1" applyBorder="1" applyAlignment="1">
      <alignment horizontal="center" vertical="center"/>
    </xf>
    <xf numFmtId="0" fontId="62" fillId="0" borderId="5" xfId="8" applyFont="1" applyBorder="1" applyAlignment="1">
      <alignment horizontal="left" vertical="center" wrapText="1"/>
    </xf>
    <xf numFmtId="0" fontId="62" fillId="0" borderId="6" xfId="8" applyFont="1" applyBorder="1" applyAlignment="1">
      <alignment horizontal="left" vertical="top"/>
    </xf>
    <xf numFmtId="0" fontId="13" fillId="0" borderId="5" xfId="8" applyFont="1" applyBorder="1" applyAlignment="1">
      <alignment horizontal="left" vertical="center" wrapText="1"/>
    </xf>
    <xf numFmtId="0" fontId="13" fillId="0" borderId="153" xfId="8" applyFont="1" applyBorder="1" applyAlignment="1">
      <alignment horizontal="center" vertical="center" wrapText="1"/>
    </xf>
    <xf numFmtId="0" fontId="62" fillId="0" borderId="12" xfId="8" applyFont="1" applyBorder="1" applyAlignment="1">
      <alignment horizontal="left" vertical="top" wrapText="1"/>
    </xf>
    <xf numFmtId="0" fontId="62" fillId="0" borderId="153" xfId="8" applyFont="1" applyBorder="1" applyAlignment="1">
      <alignment horizontal="center" vertical="center" wrapText="1"/>
    </xf>
    <xf numFmtId="0" fontId="13" fillId="0" borderId="6" xfId="8" applyFont="1" applyBorder="1" applyAlignment="1">
      <alignment horizontal="center" vertical="center" wrapText="1"/>
    </xf>
    <xf numFmtId="0" fontId="13" fillId="0" borderId="25" xfId="8" applyFont="1" applyBorder="1" applyAlignment="1">
      <alignment horizontal="left" vertical="top" wrapText="1"/>
    </xf>
    <xf numFmtId="0" fontId="62" fillId="0" borderId="2" xfId="8" applyFont="1" applyBorder="1" applyAlignment="1">
      <alignment horizontal="left" vertical="top"/>
    </xf>
    <xf numFmtId="0" fontId="62" fillId="0" borderId="13" xfId="8" applyFont="1" applyBorder="1" applyAlignment="1">
      <alignment horizontal="left" vertical="top" wrapText="1"/>
    </xf>
    <xf numFmtId="0" fontId="62" fillId="0" borderId="27" xfId="8" applyFont="1" applyBorder="1" applyAlignment="1">
      <alignment horizontal="center" vertical="center" wrapText="1"/>
    </xf>
    <xf numFmtId="0" fontId="62" fillId="0" borderId="27" xfId="8" applyFont="1" applyBorder="1" applyAlignment="1">
      <alignment horizontal="center" vertical="center"/>
    </xf>
    <xf numFmtId="0" fontId="66" fillId="7" borderId="25" xfId="0" applyFont="1" applyFill="1" applyBorder="1" applyAlignment="1">
      <alignment horizontal="center" vertical="center"/>
    </xf>
    <xf numFmtId="0" fontId="66" fillId="7" borderId="22" xfId="0" applyFont="1" applyFill="1" applyBorder="1" applyAlignment="1">
      <alignment horizontal="center" vertical="center"/>
    </xf>
    <xf numFmtId="0" fontId="67" fillId="0" borderId="0" xfId="0" applyFont="1" applyAlignment="1">
      <alignment horizontal="center" vertical="center"/>
    </xf>
    <xf numFmtId="0" fontId="66" fillId="7" borderId="147" xfId="0" applyFont="1" applyFill="1" applyBorder="1" applyAlignment="1">
      <alignment horizontal="center" vertical="center"/>
    </xf>
    <xf numFmtId="0" fontId="6" fillId="0" borderId="22" xfId="0" applyFont="1" applyBorder="1" applyAlignment="1">
      <alignment horizontal="center" vertical="center"/>
    </xf>
    <xf numFmtId="0" fontId="6" fillId="0" borderId="10" xfId="0" applyFont="1" applyBorder="1" applyAlignment="1">
      <alignment horizontal="center" vertical="center"/>
    </xf>
    <xf numFmtId="165" fontId="38" fillId="7" borderId="25" xfId="0" applyNumberFormat="1" applyFont="1" applyFill="1" applyBorder="1" applyAlignment="1" applyProtection="1">
      <alignment vertical="center"/>
      <protection locked="0"/>
    </xf>
    <xf numFmtId="0" fontId="11" fillId="0" borderId="3" xfId="0" applyFont="1" applyBorder="1" applyAlignment="1">
      <alignment horizontal="center" vertical="center"/>
    </xf>
    <xf numFmtId="165" fontId="68" fillId="7" borderId="25" xfId="0" applyNumberFormat="1" applyFont="1" applyFill="1" applyBorder="1" applyAlignment="1" applyProtection="1">
      <alignment horizontal="center" vertical="center"/>
      <protection locked="0"/>
    </xf>
    <xf numFmtId="165" fontId="69" fillId="7" borderId="25" xfId="0" applyNumberFormat="1" applyFont="1" applyFill="1" applyBorder="1" applyAlignment="1">
      <alignment horizontal="center" vertical="center"/>
    </xf>
    <xf numFmtId="165" fontId="69" fillId="0" borderId="25" xfId="0" applyNumberFormat="1" applyFont="1" applyBorder="1" applyAlignment="1">
      <alignment horizontal="center" vertical="center"/>
    </xf>
    <xf numFmtId="165" fontId="38" fillId="7" borderId="26" xfId="0" applyNumberFormat="1" applyFont="1" applyFill="1" applyBorder="1" applyAlignment="1" applyProtection="1">
      <alignment horizontal="center" vertical="center"/>
      <protection locked="0"/>
    </xf>
    <xf numFmtId="165" fontId="29" fillId="0" borderId="2" xfId="0" applyNumberFormat="1" applyFont="1" applyBorder="1" applyAlignment="1" applyProtection="1">
      <alignment horizontal="center" vertical="center"/>
      <protection locked="0"/>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61" fillId="0" borderId="0" xfId="3" applyFont="1" applyAlignment="1">
      <alignment horizontal="center"/>
    </xf>
    <xf numFmtId="0" fontId="6" fillId="0" borderId="6" xfId="0" applyFont="1" applyBorder="1" applyAlignment="1">
      <alignment horizontal="center"/>
    </xf>
    <xf numFmtId="0" fontId="6" fillId="0" borderId="5" xfId="0" applyFont="1" applyBorder="1" applyAlignment="1">
      <alignment horizontal="center"/>
    </xf>
    <xf numFmtId="0" fontId="6" fillId="0" borderId="3" xfId="0" applyFont="1" applyBorder="1" applyAlignment="1">
      <alignment horizontal="center"/>
    </xf>
    <xf numFmtId="175" fontId="6" fillId="0" borderId="25" xfId="0" applyNumberFormat="1" applyFont="1" applyBorder="1" applyAlignment="1">
      <alignment horizontal="center"/>
    </xf>
    <xf numFmtId="0" fontId="38" fillId="7" borderId="0" xfId="0" applyFont="1" applyFill="1" applyAlignment="1" applyProtection="1">
      <alignment horizontal="left"/>
      <protection locked="0"/>
    </xf>
    <xf numFmtId="0" fontId="29" fillId="0" borderId="0" xfId="0" applyFont="1" applyAlignment="1" applyProtection="1">
      <alignment horizontal="left"/>
      <protection locked="0"/>
    </xf>
    <xf numFmtId="14" fontId="38" fillId="7" borderId="0" xfId="0" applyNumberFormat="1" applyFont="1" applyFill="1" applyAlignment="1" applyProtection="1">
      <alignment horizontal="left"/>
      <protection locked="0"/>
    </xf>
    <xf numFmtId="0" fontId="28" fillId="0" borderId="6" xfId="0" applyFont="1" applyBorder="1" applyAlignment="1">
      <alignment horizontal="center" vertical="center"/>
    </xf>
    <xf numFmtId="0" fontId="28" fillId="0" borderId="5" xfId="0" applyFont="1" applyBorder="1" applyAlignment="1">
      <alignment horizontal="center" vertical="center"/>
    </xf>
    <xf numFmtId="0" fontId="28" fillId="0" borderId="3" xfId="0" applyFont="1" applyBorder="1" applyAlignment="1">
      <alignment horizontal="center" vertical="center"/>
    </xf>
    <xf numFmtId="0" fontId="28" fillId="0" borderId="25" xfId="0" applyFont="1" applyBorder="1" applyAlignment="1">
      <alignment horizontal="center" vertical="center"/>
    </xf>
    <xf numFmtId="0" fontId="27" fillId="0" borderId="0" xfId="0" applyFont="1" applyAlignment="1">
      <alignment horizontal="left"/>
    </xf>
    <xf numFmtId="0" fontId="13" fillId="0" borderId="25" xfId="0" applyFont="1" applyBorder="1" applyAlignment="1">
      <alignment horizontal="center" vertical="center"/>
    </xf>
    <xf numFmtId="176" fontId="6" fillId="0" borderId="25" xfId="0" applyNumberFormat="1" applyFont="1" applyBorder="1" applyAlignment="1">
      <alignment horizontal="center"/>
    </xf>
    <xf numFmtId="0" fontId="45" fillId="0" borderId="6" xfId="0" applyFont="1" applyBorder="1" applyAlignment="1">
      <alignment horizontal="center" vertical="center"/>
    </xf>
    <xf numFmtId="0" fontId="45" fillId="0" borderId="3" xfId="0" applyFont="1" applyBorder="1" applyAlignment="1">
      <alignment horizontal="center" vertical="center"/>
    </xf>
    <xf numFmtId="0" fontId="0" fillId="0" borderId="0" xfId="0" applyAlignment="1">
      <alignment horizontal="center"/>
    </xf>
    <xf numFmtId="0" fontId="18" fillId="0" borderId="27"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xf>
    <xf numFmtId="0" fontId="18" fillId="0" borderId="6" xfId="0" applyFont="1" applyBorder="1" applyAlignment="1">
      <alignment horizontal="center" vertical="center"/>
    </xf>
    <xf numFmtId="0" fontId="18" fillId="0" borderId="5" xfId="0" applyFont="1" applyBorder="1" applyAlignment="1">
      <alignment horizontal="center" vertical="center"/>
    </xf>
    <xf numFmtId="0" fontId="18" fillId="0" borderId="3" xfId="0" applyFont="1" applyBorder="1" applyAlignment="1">
      <alignment horizontal="center" vertical="center"/>
    </xf>
    <xf numFmtId="0" fontId="18" fillId="0" borderId="6" xfId="0" applyFont="1" applyBorder="1" applyAlignment="1">
      <alignment horizontal="center"/>
    </xf>
    <xf numFmtId="0" fontId="18" fillId="0" borderId="5" xfId="0" applyFont="1" applyBorder="1" applyAlignment="1">
      <alignment horizontal="center"/>
    </xf>
    <xf numFmtId="0" fontId="6" fillId="0" borderId="26" xfId="0" applyFont="1" applyBorder="1" applyAlignment="1">
      <alignment horizontal="center"/>
    </xf>
    <xf numFmtId="0" fontId="0" fillId="0" borderId="26" xfId="0" applyBorder="1" applyAlignment="1">
      <alignment horizontal="center"/>
    </xf>
    <xf numFmtId="0" fontId="53" fillId="0" borderId="25" xfId="0" applyFont="1" applyBorder="1" applyAlignment="1">
      <alignment horizontal="center"/>
    </xf>
    <xf numFmtId="0" fontId="67" fillId="0" borderId="25" xfId="0" applyFont="1" applyBorder="1" applyAlignment="1">
      <alignment horizontal="center" vertical="center"/>
    </xf>
    <xf numFmtId="49" fontId="6" fillId="0" borderId="6" xfId="0" applyNumberFormat="1" applyFont="1" applyBorder="1" applyAlignment="1">
      <alignment horizontal="center" vertical="center" wrapText="1"/>
    </xf>
    <xf numFmtId="49" fontId="6" fillId="0" borderId="3"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0" fontId="6" fillId="0" borderId="6" xfId="0" applyFont="1" applyBorder="1" applyAlignment="1">
      <alignment horizontal="center" vertical="center"/>
    </xf>
    <xf numFmtId="0" fontId="6" fillId="0" borderId="5" xfId="0" applyFont="1" applyBorder="1" applyAlignment="1">
      <alignment horizontal="center" vertical="center"/>
    </xf>
    <xf numFmtId="0" fontId="6" fillId="0" borderId="3" xfId="0" applyFont="1" applyBorder="1" applyAlignment="1">
      <alignment horizontal="center" vertical="center"/>
    </xf>
    <xf numFmtId="49" fontId="6" fillId="0" borderId="25" xfId="0" applyNumberFormat="1" applyFont="1" applyBorder="1" applyAlignment="1">
      <alignment horizontal="center" vertical="center" wrapText="1"/>
    </xf>
    <xf numFmtId="0" fontId="6" fillId="0" borderId="25" xfId="0" applyFont="1" applyBorder="1" applyAlignment="1">
      <alignment horizontal="center" vertical="center"/>
    </xf>
    <xf numFmtId="0" fontId="6" fillId="0" borderId="25" xfId="0" applyFont="1" applyBorder="1" applyAlignment="1">
      <alignment horizontal="center" vertical="center" wrapText="1"/>
    </xf>
    <xf numFmtId="0" fontId="24" fillId="0" borderId="25" xfId="0" applyFont="1" applyBorder="1" applyAlignment="1">
      <alignment horizontal="center" vertical="center"/>
    </xf>
    <xf numFmtId="1" fontId="11" fillId="0" borderId="25" xfId="0" applyNumberFormat="1" applyFont="1" applyBorder="1" applyAlignment="1">
      <alignment horizontal="center" vertical="center" wrapText="1"/>
    </xf>
    <xf numFmtId="0" fontId="60" fillId="0" borderId="0" xfId="7" applyFont="1" applyAlignment="1">
      <alignment horizontal="center"/>
    </xf>
    <xf numFmtId="0" fontId="6" fillId="0" borderId="25" xfId="0" applyFont="1" applyBorder="1" applyAlignment="1">
      <alignment horizontal="center"/>
    </xf>
    <xf numFmtId="0" fontId="0" fillId="0" borderId="25" xfId="0" applyBorder="1" applyAlignment="1">
      <alignment horizontal="center"/>
    </xf>
    <xf numFmtId="0" fontId="59" fillId="0" borderId="25" xfId="0" applyFont="1" applyBorder="1" applyAlignment="1">
      <alignment horizontal="center"/>
    </xf>
    <xf numFmtId="0" fontId="59" fillId="0" borderId="6" xfId="0" applyFont="1" applyBorder="1" applyAlignment="1">
      <alignment horizontal="center"/>
    </xf>
    <xf numFmtId="0" fontId="59" fillId="0" borderId="5" xfId="0" applyFont="1" applyBorder="1" applyAlignment="1">
      <alignment horizontal="center"/>
    </xf>
    <xf numFmtId="0" fontId="59" fillId="0" borderId="3" xfId="0" applyFont="1" applyBorder="1" applyAlignment="1">
      <alignment horizontal="center"/>
    </xf>
    <xf numFmtId="0" fontId="50" fillId="0" borderId="25" xfId="4" applyFont="1" applyBorder="1" applyAlignment="1" applyProtection="1">
      <alignment horizontal="center"/>
      <protection hidden="1"/>
    </xf>
    <xf numFmtId="0" fontId="6" fillId="0" borderId="25" xfId="4" applyBorder="1" applyAlignment="1" applyProtection="1">
      <alignment horizontal="center"/>
      <protection hidden="1"/>
    </xf>
    <xf numFmtId="0" fontId="46" fillId="0" borderId="0" xfId="0" applyFont="1" applyAlignment="1">
      <alignment horizontal="center"/>
    </xf>
    <xf numFmtId="0" fontId="6" fillId="0" borderId="0" xfId="0" applyFont="1" applyAlignment="1">
      <alignment horizontal="center"/>
    </xf>
    <xf numFmtId="0" fontId="12" fillId="4" borderId="22" xfId="0" applyFont="1" applyFill="1" applyBorder="1" applyAlignment="1">
      <alignment horizontal="center"/>
    </xf>
    <xf numFmtId="0" fontId="12" fillId="4" borderId="0" xfId="0" applyFont="1" applyFill="1" applyAlignment="1">
      <alignment horizontal="center"/>
    </xf>
  </cellXfs>
  <cellStyles count="9">
    <cellStyle name="DiRootsParameterNotFound" xfId="1" xr:uid="{104907A8-2D4D-4252-804C-87DEA72DE229}"/>
    <cellStyle name="Heading 1" xfId="5" builtinId="16"/>
    <cellStyle name="Hyperlink" xfId="3" builtinId="8"/>
    <cellStyle name="Normal" xfId="0" builtinId="0"/>
    <cellStyle name="Normal 2" xfId="4" xr:uid="{B6F6B4F1-A17B-4ADA-AED1-F3AAF6032D7C}"/>
    <cellStyle name="Normal 3" xfId="6" xr:uid="{6B86E814-EDAC-472F-9644-D13A9CDC5A4C}"/>
    <cellStyle name="Normal 4" xfId="7" xr:uid="{1D294FFC-7773-419F-B4A5-61D5A40BBC31}"/>
    <cellStyle name="Normal 5" xfId="8" xr:uid="{C0EF93B9-C026-4D2B-BA46-194800A3AF4B}"/>
    <cellStyle name="Percent" xfId="2" builtinId="5"/>
  </cellStyles>
  <dxfs count="995">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indexed="23"/>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border diagonalUp="0" diagonalDown="0">
        <left style="thin">
          <color auto="1"/>
        </left>
        <right style="thin">
          <color auto="1"/>
        </right>
        <top style="thin">
          <color indexed="22"/>
        </top>
        <bottom/>
        <vertical/>
        <horizontal/>
      </border>
    </dxf>
    <dxf>
      <font>
        <b val="0"/>
        <i val="0"/>
        <strike val="0"/>
        <condense val="0"/>
        <extend val="0"/>
        <outline val="0"/>
        <shadow val="0"/>
        <u val="none"/>
        <vertAlign val="baseline"/>
        <sz val="8"/>
        <color auto="1"/>
        <name val="Arial Narrow"/>
        <family val="2"/>
        <scheme val="none"/>
      </font>
      <alignment horizontal="general" vertical="center" textRotation="0" wrapText="0" indent="0" justifyLastLine="0" shrinkToFit="0" readingOrder="0"/>
      <border diagonalUp="0" diagonalDown="0">
        <left style="thin">
          <color indexed="64"/>
        </left>
        <right/>
        <top style="thin">
          <color indexed="22"/>
        </top>
        <bottom/>
        <vertical/>
        <horizontal/>
      </border>
    </dxf>
    <dxf>
      <border outline="0">
        <right style="thin">
          <color indexed="64"/>
        </right>
        <top style="thin">
          <color indexed="64"/>
        </top>
        <bottom style="thin">
          <color indexed="64"/>
        </bottom>
      </border>
    </dxf>
    <dxf>
      <font>
        <b val="0"/>
        <i val="0"/>
        <strike val="0"/>
        <condense val="0"/>
        <extend val="0"/>
        <outline val="0"/>
        <shadow val="0"/>
        <u val="none"/>
        <vertAlign val="baseline"/>
        <sz val="7"/>
        <color auto="1"/>
        <name val="Arial Narrow"/>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9"/>
        <color theme="1"/>
        <name val="Calibri"/>
        <family val="2"/>
        <scheme val="none"/>
      </font>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8"/>
        <color auto="1"/>
        <name val="Calibri"/>
        <family val="2"/>
        <scheme val="none"/>
      </font>
      <alignment horizontal="center" vertical="center" textRotation="0" wrapText="1" indent="0" justifyLastLine="0" shrinkToFit="0" readingOrder="0"/>
    </dxf>
    <dxf>
      <border outline="0">
        <top style="medium">
          <color rgb="FF000000"/>
        </top>
      </border>
    </dxf>
    <dxf>
      <font>
        <b val="0"/>
        <family val="2"/>
      </font>
      <alignment horizontal="center" vertical="center" textRotation="0"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indexed="64"/>
          <bgColor rgb="FFDEEAF6"/>
        </patternFill>
      </fill>
      <alignment horizontal="center" vertical="center" textRotation="0" wrapText="1" indent="0" justifyLastLine="0" shrinkToFit="0" readingOrder="0"/>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73" formatCode="0&quot; Tons&quo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rgb="FF000000"/>
        </left>
        <right style="medium">
          <color rgb="FF000000"/>
        </right>
        <top style="thin">
          <color rgb="FF000000"/>
        </top>
      </border>
    </dxf>
    <dxf>
      <font>
        <b val="0"/>
        <i val="0"/>
        <strike val="0"/>
        <condense val="0"/>
        <extend val="0"/>
        <outline val="0"/>
        <shadow val="0"/>
        <u val="none"/>
        <vertAlign val="baseline"/>
        <sz val="11"/>
        <color auto="1"/>
        <name val="Century Gothic"/>
        <family val="2"/>
        <scheme val="none"/>
      </font>
      <alignment horizontal="center" vertical="center" textRotation="0" wrapText="0" indent="0" justifyLastLine="0" shrinkToFit="0" readingOrder="0"/>
    </dxf>
    <dxf>
      <border outline="0">
        <bottom style="medium">
          <color rgb="FF000000"/>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entury Gothic"/>
        <family val="2"/>
        <scheme val="minor"/>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numFmt numFmtId="4"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4" formatCode="#,##0.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2"/>
        <color rgb="FFFF0000"/>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1"/>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1"/>
    </dxf>
    <dxf>
      <numFmt numFmtId="167" formatCode="#,##0.0"/>
      <alignment horizontal="center" vertical="center" textRotation="0" indent="0" justifyLastLine="0" shrinkToFit="0" readingOrder="0"/>
      <protection locked="1" hidden="1"/>
    </dxf>
    <dxf>
      <numFmt numFmtId="3" formatCode="#,##0"/>
      <alignment horizontal="center" vertical="center" textRotation="0" indent="0" justifyLastLine="0" shrinkToFit="0" readingOrder="0"/>
      <protection locked="1" hidden="1"/>
    </dxf>
    <dxf>
      <numFmt numFmtId="165" formatCode="0.0"/>
      <alignment horizontal="center" vertical="center" textRotation="0" indent="0" justifyLastLine="0" shrinkToFit="0" readingOrder="0"/>
      <border diagonalUp="0" diagonalDown="0">
        <left style="thin">
          <color indexed="64"/>
        </left>
        <right/>
        <top style="thin">
          <color indexed="64"/>
        </top>
        <bottom style="thin">
          <color indexed="64"/>
        </bottom>
      </border>
      <protection locked="1" hidden="1"/>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theme="3"/>
        <name val="Calibri (Body)"/>
        <scheme val="none"/>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67"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3"/>
        <name val="Calibri (Body)"/>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sz val="11"/>
        <color theme="3"/>
        <name val="Calibri (Body)"/>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sz val="11"/>
        <color theme="3"/>
        <name val="Calibri (Body)"/>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protection locked="1" hidden="1"/>
    </dxf>
    <dxf>
      <border>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indent="0" justifyLastLine="0" shrinkToFit="0" readingOrder="0"/>
      <border diagonalUp="0" diagonalDown="0">
        <left style="thin">
          <color indexed="64"/>
        </left>
        <right style="thin">
          <color indexed="64"/>
        </right>
        <top/>
        <bottom/>
      </border>
      <protection locked="1" hidden="1"/>
    </dxf>
    <dxf>
      <font>
        <b val="0"/>
        <i val="0"/>
        <u val="none"/>
        <color theme="1" tint="0.34998626667073579"/>
      </font>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11"/>
        <name val="Century Gothic"/>
        <family val="2"/>
        <scheme val="minor"/>
      </font>
      <numFmt numFmtId="165" formatCode="0.0"/>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z val="11"/>
        <name val="Century Gothic"/>
        <family val="2"/>
        <scheme val="minor"/>
      </font>
      <fill>
        <patternFill patternType="solid">
          <fgColor indexed="64"/>
          <bgColor theme="0"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65" formatCode="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indexed="64"/>
        </right>
        <top style="thin">
          <color indexed="64"/>
        </top>
      </border>
    </dxf>
    <dxf>
      <alignment horizontal="center" vertical="center" textRotation="0" indent="0" justifyLastLine="0" shrinkToFit="0" readingOrder="0"/>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1"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wrapText="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strike val="0"/>
        <outline val="0"/>
        <shadow val="0"/>
        <u val="none"/>
        <vertAlign val="baseline"/>
        <sz val="11"/>
        <color theme="1"/>
        <name val="Calibri"/>
        <family val="2"/>
        <scheme val="none"/>
      </font>
      <alignment horizontal="lef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numFmt numFmtId="174" formatCode="#,##0&quot; CFM&quot;"/>
      <alignment horizontal="center" vertical="center" textRotation="0" wrapText="0" indent="0" justifyLastLine="0" shrinkToFit="0" readingOrder="0"/>
    </dxf>
    <dxf>
      <numFmt numFmtId="174" formatCode="#,##0&quot; CFM&quo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sz val="8"/>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1"/>
        <name val="Arial"/>
        <family val="2"/>
        <scheme val="none"/>
      </font>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border outline="0">
        <right style="thin">
          <color indexed="64"/>
        </right>
        <top style="thin">
          <color indexed="64"/>
        </top>
        <bottom style="thin">
          <color indexed="64"/>
        </bottom>
      </border>
    </dxf>
    <dxf>
      <font>
        <strike val="0"/>
        <outline val="0"/>
        <shadow val="0"/>
        <u val="none"/>
        <sz val="8"/>
        <name val="Arial"/>
        <family val="2"/>
        <scheme val="none"/>
      </font>
    </dxf>
    <dxf>
      <border outline="0">
        <bottom style="thin">
          <color indexed="64"/>
        </bottom>
      </border>
    </dxf>
    <dxf>
      <font>
        <strike val="0"/>
        <outline val="0"/>
        <shadow val="0"/>
        <u val="none"/>
        <vertAlign val="baseline"/>
        <sz val="8"/>
        <color auto="1"/>
        <name val="Arial"/>
        <family val="2"/>
        <scheme val="none"/>
      </font>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7"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i val="0"/>
        <strike val="0"/>
        <condense val="0"/>
        <extend val="0"/>
        <outline val="0"/>
        <shadow val="0"/>
        <u val="none"/>
        <vertAlign val="baseline"/>
        <sz val="11"/>
        <color theme="3"/>
        <name val="Century Gothic"/>
        <family val="2"/>
        <scheme val="minor"/>
      </font>
      <numFmt numFmtId="165" formatCode="0.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0"/>
        <color auto="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entury Gothic"/>
        <family val="1"/>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165" formatCode="0.0"/>
      <alignment horizontal="center" vertical="center" textRotation="0" wrapText="0" indent="0" justifyLastLine="0" shrinkToFit="0" readingOrder="0"/>
      <border diagonalUp="0" diagonalDown="0" outline="0">
        <left/>
        <right/>
        <top style="thin">
          <color theme="4"/>
        </top>
        <bottom style="double">
          <color theme="4"/>
        </bottom>
      </border>
    </dxf>
    <dxf>
      <font>
        <b val="0"/>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theme="3"/>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protection locked="0" hidden="0"/>
    </dxf>
    <dxf>
      <font>
        <b val="0"/>
        <i val="0"/>
        <strike val="0"/>
        <condense val="0"/>
        <extend val="0"/>
        <outline val="0"/>
        <shadow val="0"/>
        <u val="none"/>
        <vertAlign val="baseline"/>
        <sz val="11"/>
        <color theme="3"/>
        <name val="Calibri (Body)"/>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numFmt numFmtId="3" formatCode="#,##0"/>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3"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4"/>
        </top>
        <bottom style="double">
          <color theme="4"/>
        </bottom>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thin">
          <color indexed="64"/>
        </top>
      </border>
    </dxf>
    <dxf>
      <font>
        <b val="0"/>
        <i val="0"/>
        <strike val="0"/>
        <condense val="0"/>
        <extend val="0"/>
        <outline val="0"/>
        <shadow val="0"/>
        <u val="none"/>
        <vertAlign val="baseline"/>
        <sz val="11"/>
        <color auto="1"/>
        <name val="Century Gothic"/>
        <family val="2"/>
        <scheme val="minor"/>
      </font>
      <alignment horizontal="center" vertical="center" textRotation="0" wrapText="0" indent="0" justifyLastLine="0" shrinkToFit="0" readingOrder="0"/>
    </dxf>
    <dxf>
      <border outline="0">
        <bottom style="medium">
          <color indexed="64"/>
        </bottom>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0" formatCode="General"/>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ont>
        <b val="0"/>
        <strike val="0"/>
        <outline val="0"/>
        <shadow val="0"/>
        <u val="none"/>
        <vertAlign val="baseline"/>
        <sz val="10"/>
        <color auto="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top/>
        <bottom/>
      </border>
    </dxf>
    <dxf>
      <font>
        <b val="0"/>
        <family val="2"/>
      </font>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top/>
        <bottom/>
      </border>
    </dxf>
    <dxf>
      <font>
        <b val="0"/>
        <strike val="0"/>
        <outline val="0"/>
        <shadow val="0"/>
        <u val="none"/>
        <vertAlign val="baseline"/>
        <sz val="10"/>
        <color auto="1"/>
        <name val="Arial"/>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10"/>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auto="1"/>
        </left>
        <right/>
        <top/>
        <bottom/>
      </border>
    </dxf>
    <dxf>
      <font>
        <b/>
        <color theme="3"/>
        <family val="2"/>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i val="0"/>
        <strike val="0"/>
        <condense val="0"/>
        <extend val="0"/>
        <outline val="0"/>
        <shadow val="0"/>
        <u val="none"/>
        <vertAlign val="baseline"/>
        <sz val="10"/>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0"/>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0"/>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rgb="FFFF0000"/>
      </font>
    </dxf>
    <dxf>
      <font>
        <color rgb="FFFF0000"/>
      </font>
    </dxf>
    <dxf>
      <font>
        <color rgb="FFFF0000"/>
      </font>
    </dxf>
    <dxf>
      <font>
        <color rgb="FFFF0000"/>
      </font>
    </dxf>
    <dxf>
      <border outline="0">
        <top style="medium">
          <color indexed="64"/>
        </top>
        <bottom style="thin">
          <color indexed="64"/>
        </bottom>
      </border>
    </dxf>
    <dxf>
      <border outline="0">
        <bottom style="medium">
          <color indexed="64"/>
        </bottom>
      </border>
    </dxf>
    <dxf>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indexed="64"/>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val="0"/>
        <strike val="0"/>
        <condense val="0"/>
        <extend val="0"/>
        <outline val="0"/>
        <shadow val="0"/>
        <u val="none"/>
        <vertAlign val="baseline"/>
        <sz val="12"/>
        <color theme="1"/>
        <name val="Century Gothic"/>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2"/>
        <color theme="1"/>
        <name val="Century Gothic"/>
        <family val="2"/>
        <scheme val="minor"/>
      </font>
      <alignment horizontal="center" vertical="center" textRotation="0" wrapText="0" indent="0" justifyLastLine="0" shrinkToFit="0" readingOrder="0"/>
      <border diagonalUp="0" diagonalDown="0" outline="0">
        <left/>
        <right/>
        <top style="thin">
          <color theme="1"/>
        </top>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30" formatCode="@"/>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numFmt numFmtId="1" formatCode="0"/>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68" formatCode="0\ &quot;CFM&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numFmt numFmtId="171" formatCode="0\ &quot;PEOPLE&quo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68" formatCode="0\ &quot;CFM&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numFmt numFmtId="169" formatCode="0\ &quot;FT²&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numFmt numFmtId="170" formatCode="0\ &quot;ROOMS&quo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font>
    </dxf>
    <dxf>
      <border outline="0">
        <left style="thin">
          <color auto="1"/>
        </left>
        <right style="thin">
          <color rgb="FF000000"/>
        </right>
        <top style="thin">
          <color rgb="FF000000"/>
        </top>
      </border>
    </dxf>
    <dxf>
      <alignment horizontal="center" vertical="center" textRotation="0" indent="0" justifyLastLine="0" shrinkToFit="0" readingOrder="0"/>
    </dxf>
    <dxf>
      <border>
        <bottom style="thin">
          <color rgb="FF000000"/>
        </bottom>
      </border>
    </dxf>
    <dxf>
      <font>
        <strike val="0"/>
        <outline val="0"/>
        <shadow val="0"/>
        <u val="none"/>
        <vertAlign val="baseline"/>
        <color auto="1"/>
      </font>
      <fill>
        <patternFill patternType="none">
          <fgColor indexed="64"/>
          <bgColor auto="1"/>
        </patternFill>
      </fill>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top style="thin">
          <color indexed="64"/>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7" formatCode="#\ ?/?"/>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protection locked="0" hidden="0"/>
    </dxf>
    <dxf>
      <font>
        <b val="0"/>
        <i val="0"/>
        <strike val="0"/>
        <condense val="0"/>
        <extend val="0"/>
        <outline val="0"/>
        <shadow val="0"/>
        <u val="none"/>
        <vertAlign val="baseline"/>
        <sz val="12"/>
        <color theme="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rgb="FF000000"/>
        </top>
      </border>
    </dxf>
    <dxf>
      <font>
        <strike val="0"/>
        <outline val="0"/>
        <shadow val="0"/>
        <vertAlign val="baseline"/>
        <sz val="12"/>
        <family val="2"/>
      </font>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border outline="0">
        <bottom style="thin">
          <color rgb="FF000000"/>
        </bottom>
      </border>
    </dxf>
    <dxf>
      <font>
        <b val="0"/>
        <i val="0"/>
        <strike val="0"/>
        <condense val="0"/>
        <extend val="0"/>
        <outline val="0"/>
        <shadow val="0"/>
        <u val="none"/>
        <vertAlign val="baseline"/>
        <sz val="12"/>
        <color theme="1"/>
        <name val="Arial"/>
        <family val="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strike val="0"/>
        <outline val="0"/>
        <shadow val="0"/>
        <vertAlign val="baseline"/>
        <sz val="1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vertAlign val="baseline"/>
        <sz val="12"/>
        <family val="2"/>
      </font>
      <numFmt numFmtId="166" formatCode="_(\ #,##0.0_);_(* \(#,##0.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 formatCode="0"/>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Arial"/>
        <family val="2"/>
        <scheme val="none"/>
      </font>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strike val="0"/>
        <outline val="0"/>
        <shadow val="0"/>
        <u val="none"/>
        <vertAlign val="baseline"/>
        <sz val="12"/>
        <color theme="3"/>
        <name val="Arial"/>
        <family val="2"/>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center"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numFmt numFmtId="0" formatCode="General"/>
      <alignment horizontal="center"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0" formatCode="General"/>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i val="0"/>
        <strike val="0"/>
        <condense val="0"/>
        <extend val="0"/>
        <outline val="0"/>
        <shadow val="0"/>
        <u val="none"/>
        <vertAlign val="baseline"/>
        <sz val="12"/>
        <color theme="3"/>
        <name val="Arial"/>
        <family val="2"/>
        <scheme val="none"/>
      </font>
      <numFmt numFmtId="164" formatCode="_(\ #,##0_);_(* \(#,##0\);_(* &quot;  -     &quot;_);"/>
      <fill>
        <patternFill patternType="solid">
          <fgColor indexed="64"/>
          <bgColor theme="2"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numFmt numFmtId="164" formatCode="_(\ #,##0_);_(* \(#,##0\);_(* &quot;  -     &quot;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0_);_(* \(#,##0\);_(* &quot;  -     &quot;_);"/>
      <alignment horizontal="center" vertical="bottom" textRotation="0" wrapText="0" indent="0" justifyLastLine="0" shrinkToFit="1"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i val="0"/>
        <strike val="0"/>
        <condense val="0"/>
        <extend val="0"/>
        <outline val="0"/>
        <shadow val="0"/>
        <u val="none"/>
        <vertAlign val="baseline"/>
        <sz val="12"/>
        <color theme="3"/>
        <name val="Arial"/>
        <family val="2"/>
        <scheme val="none"/>
      </font>
      <fill>
        <patternFill patternType="solid">
          <fgColor indexed="64"/>
          <bgColor theme="2"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3" tint="0.39997558519241921"/>
        <name val="Arial"/>
        <family val="2"/>
        <scheme val="none"/>
      </font>
      <alignment horizontal="center"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2"/>
        <color theme="3"/>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font>
        <strike val="0"/>
        <outline val="0"/>
        <shadow val="0"/>
        <vertAlign val="baseline"/>
        <sz val="12"/>
      </font>
      <border diagonalUp="0" diagonalDown="0">
        <left style="thin">
          <color rgb="FF000000"/>
        </left>
        <right style="thin">
          <color rgb="FF000000"/>
        </right>
        <top/>
        <bottom/>
        <vertical style="thin">
          <color rgb="FF000000"/>
        </vertical>
        <horizontal style="thin">
          <color rgb="FF000000"/>
        </horizontal>
      </border>
    </dxf>
    <dxf>
      <border diagonalUp="0" diagonalDown="0">
        <left style="thin">
          <color rgb="FF000000"/>
        </left>
        <right style="thin">
          <color rgb="FF000000"/>
        </right>
        <top style="thin">
          <color rgb="FF000000"/>
        </top>
        <bottom style="thin">
          <color rgb="FF000000"/>
        </bottom>
      </border>
    </dxf>
    <dxf>
      <font>
        <strike val="0"/>
        <outline val="0"/>
        <shadow val="0"/>
        <vertAlign val="baseline"/>
        <sz val="12"/>
      </font>
    </dxf>
    <dxf>
      <border>
        <bottom style="thin">
          <color rgb="FF000000"/>
        </bottom>
      </border>
    </dxf>
    <dxf>
      <font>
        <strike val="0"/>
        <outline val="0"/>
        <shadow val="0"/>
        <u val="none"/>
        <vertAlign val="baseline"/>
        <sz val="12"/>
        <color theme="1"/>
      </font>
      <fill>
        <patternFill>
          <bgColor theme="0"/>
        </patternFill>
      </fill>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3"/>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1"/>
        <name val="Arial"/>
        <family val="2"/>
        <scheme val="none"/>
      </font>
      <alignment horizontal="center" vertical="center"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indent="0" justifyLastLine="0" shrinkToFit="0" readingOrder="0"/>
    </dxf>
    <dxf>
      <border>
        <bottom style="thin">
          <color indexed="64"/>
        </bottom>
      </border>
    </dxf>
    <dxf>
      <font>
        <b val="0"/>
        <i val="0"/>
        <strike val="0"/>
        <condense val="0"/>
        <extend val="0"/>
        <outline val="0"/>
        <shadow val="0"/>
        <u val="none"/>
        <vertAlign val="baseline"/>
        <sz val="8"/>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9" Type="http://schemas.openxmlformats.org/officeDocument/2006/relationships/customXml" Target="../customXml/item7.xml"/><Relationship Id="rId21" Type="http://schemas.openxmlformats.org/officeDocument/2006/relationships/worksheet" Target="worksheets/sheet21.xml"/><Relationship Id="rId34" Type="http://schemas.openxmlformats.org/officeDocument/2006/relationships/customXml" Target="../customXml/item2.xml"/><Relationship Id="rId42" Type="http://schemas.openxmlformats.org/officeDocument/2006/relationships/customXml" Target="../customXml/item10.xml"/><Relationship Id="rId47" Type="http://schemas.openxmlformats.org/officeDocument/2006/relationships/customXml" Target="../customXml/item15.xml"/><Relationship Id="rId50" Type="http://schemas.openxmlformats.org/officeDocument/2006/relationships/customXml" Target="../customXml/item18.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openxmlformats.org/officeDocument/2006/relationships/customXml" Target="../customXml/item5.xml"/><Relationship Id="rId40" Type="http://schemas.openxmlformats.org/officeDocument/2006/relationships/customXml" Target="../customXml/item8.xml"/><Relationship Id="rId45"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openxmlformats.org/officeDocument/2006/relationships/customXml" Target="../customXml/item4.xml"/><Relationship Id="rId49"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4"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20" Type="http://schemas.openxmlformats.org/officeDocument/2006/relationships/worksheet" Target="worksheets/sheet20.xml"/><Relationship Id="rId41"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426720</xdr:colOff>
          <xdr:row>2</xdr:row>
          <xdr:rowOff>114300</xdr:rowOff>
        </xdr:from>
        <xdr:to>
          <xdr:col>14</xdr:col>
          <xdr:colOff>457200</xdr:colOff>
          <xdr:row>5</xdr:row>
          <xdr:rowOff>0</xdr:rowOff>
        </xdr:to>
        <xdr:sp macro="" textlink="">
          <xdr:nvSpPr>
            <xdr:cNvPr id="15383" name="Button 23" descr="HUMIDIFICATION"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AHU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2</xdr:row>
          <xdr:rowOff>121920</xdr:rowOff>
        </xdr:from>
        <xdr:to>
          <xdr:col>16</xdr:col>
          <xdr:colOff>472440</xdr:colOff>
          <xdr:row>5</xdr:row>
          <xdr:rowOff>15240</xdr:rowOff>
        </xdr:to>
        <xdr:sp macro="" textlink="">
          <xdr:nvSpPr>
            <xdr:cNvPr id="15384" name="Button 24" descr="HUMIDIFICATION"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FCU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4</xdr:col>
          <xdr:colOff>563880</xdr:colOff>
          <xdr:row>2</xdr:row>
          <xdr:rowOff>22860</xdr:rowOff>
        </xdr:to>
        <xdr:sp macro="" textlink="">
          <xdr:nvSpPr>
            <xdr:cNvPr id="86029" name="Button 13" descr="HUMIDIFICATION" hidden="1">
              <a:extLst>
                <a:ext uri="{63B3BB69-23CF-44E3-9099-C40C66FF867C}">
                  <a14:compatExt spid="_x0000_s86029"/>
                </a:ext>
                <a:ext uri="{FF2B5EF4-FFF2-40B4-BE49-F238E27FC236}">
                  <a16:creationId xmlns:a16="http://schemas.microsoft.com/office/drawing/2014/main" id="{00000000-0008-0000-0200-00000D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0</xdr:row>
          <xdr:rowOff>76200</xdr:rowOff>
        </xdr:from>
        <xdr:to>
          <xdr:col>1</xdr:col>
          <xdr:colOff>876300</xdr:colOff>
          <xdr:row>2</xdr:row>
          <xdr:rowOff>106680</xdr:rowOff>
        </xdr:to>
        <xdr:sp macro="" textlink="">
          <xdr:nvSpPr>
            <xdr:cNvPr id="120834" name="Button 2" descr="HUMIDIFICATION" hidden="1">
              <a:extLst>
                <a:ext uri="{63B3BB69-23CF-44E3-9099-C40C66FF867C}">
                  <a14:compatExt spid="_x0000_s120834"/>
                </a:ext>
                <a:ext uri="{FF2B5EF4-FFF2-40B4-BE49-F238E27FC236}">
                  <a16:creationId xmlns:a16="http://schemas.microsoft.com/office/drawing/2014/main" id="{00000000-0008-0000-03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159745" name="Button 1" descr="HUMIDIFICATION" hidden="1">
              <a:extLst>
                <a:ext uri="{63B3BB69-23CF-44E3-9099-C40C66FF867C}">
                  <a14:compatExt spid="_x0000_s159745"/>
                </a:ext>
                <a:ext uri="{FF2B5EF4-FFF2-40B4-BE49-F238E27FC236}">
                  <a16:creationId xmlns:a16="http://schemas.microsoft.com/office/drawing/2014/main" id="{00000000-0008-0000-0400-0000017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982980</xdr:colOff>
          <xdr:row>0</xdr:row>
          <xdr:rowOff>15240</xdr:rowOff>
        </xdr:from>
        <xdr:to>
          <xdr:col>1</xdr:col>
          <xdr:colOff>868680</xdr:colOff>
          <xdr:row>1</xdr:row>
          <xdr:rowOff>160020</xdr:rowOff>
        </xdr:to>
        <xdr:sp macro="" textlink="">
          <xdr:nvSpPr>
            <xdr:cNvPr id="69719" name="Button 87" descr="HUMIDIFICATION" hidden="1">
              <a:extLst>
                <a:ext uri="{63B3BB69-23CF-44E3-9099-C40C66FF867C}">
                  <a14:compatExt spid="_x0000_s69719"/>
                </a:ext>
                <a:ext uri="{FF2B5EF4-FFF2-40B4-BE49-F238E27FC236}">
                  <a16:creationId xmlns:a16="http://schemas.microsoft.com/office/drawing/2014/main" id="{00000000-0008-0000-0500-000057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579120</xdr:colOff>
          <xdr:row>0</xdr:row>
          <xdr:rowOff>60960</xdr:rowOff>
        </xdr:from>
        <xdr:to>
          <xdr:col>1</xdr:col>
          <xdr:colOff>1074420</xdr:colOff>
          <xdr:row>2</xdr:row>
          <xdr:rowOff>91440</xdr:rowOff>
        </xdr:to>
        <xdr:sp macro="" textlink="">
          <xdr:nvSpPr>
            <xdr:cNvPr id="107522" name="Button 2" descr="HUMIDIFICATION" hidden="1">
              <a:extLst>
                <a:ext uri="{63B3BB69-23CF-44E3-9099-C40C66FF867C}">
                  <a14:compatExt spid="_x0000_s107522"/>
                </a:ext>
                <a:ext uri="{FF2B5EF4-FFF2-40B4-BE49-F238E27FC236}">
                  <a16:creationId xmlns:a16="http://schemas.microsoft.com/office/drawing/2014/main" id="{00000000-0008-0000-0600-000002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2</xdr:row>
          <xdr:rowOff>114300</xdr:rowOff>
        </xdr:from>
        <xdr:to>
          <xdr:col>9</xdr:col>
          <xdr:colOff>205740</xdr:colOff>
          <xdr:row>4</xdr:row>
          <xdr:rowOff>22860</xdr:rowOff>
        </xdr:to>
        <xdr:sp macro="" textlink="">
          <xdr:nvSpPr>
            <xdr:cNvPr id="129025" name="Button 1" descr="HUMIDIFICATION" hidden="1">
              <a:extLst>
                <a:ext uri="{63B3BB69-23CF-44E3-9099-C40C66FF867C}">
                  <a14:compatExt spid="_x0000_s129025"/>
                </a:ext>
                <a:ext uri="{FF2B5EF4-FFF2-40B4-BE49-F238E27FC236}">
                  <a16:creationId xmlns:a16="http://schemas.microsoft.com/office/drawing/2014/main" id="{00000000-0008-0000-0700-000001F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REFRESH ROOMS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373380</xdr:colOff>
          <xdr:row>0</xdr:row>
          <xdr:rowOff>38100</xdr:rowOff>
        </xdr:from>
        <xdr:to>
          <xdr:col>2</xdr:col>
          <xdr:colOff>419100</xdr:colOff>
          <xdr:row>1</xdr:row>
          <xdr:rowOff>137160</xdr:rowOff>
        </xdr:to>
        <xdr:sp macro="" textlink="">
          <xdr:nvSpPr>
            <xdr:cNvPr id="175105" name="Button 1" descr="HUMIDIFICATION" hidden="1">
              <a:extLst>
                <a:ext uri="{63B3BB69-23CF-44E3-9099-C40C66FF867C}">
                  <a14:compatExt spid="_x0000_s175105"/>
                </a:ext>
                <a:ext uri="{FF2B5EF4-FFF2-40B4-BE49-F238E27FC236}">
                  <a16:creationId xmlns:a16="http://schemas.microsoft.com/office/drawing/2014/main" id="{00000000-0008-0000-0800-000001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784860</xdr:colOff>
          <xdr:row>0</xdr:row>
          <xdr:rowOff>15240</xdr:rowOff>
        </xdr:from>
        <xdr:to>
          <xdr:col>4</xdr:col>
          <xdr:colOff>563880</xdr:colOff>
          <xdr:row>2</xdr:row>
          <xdr:rowOff>22860</xdr:rowOff>
        </xdr:to>
        <xdr:sp macro="" textlink="">
          <xdr:nvSpPr>
            <xdr:cNvPr id="193537" name="Button 1" descr="HUMIDIFICATION" hidden="1">
              <a:extLst>
                <a:ext uri="{63B3BB69-23CF-44E3-9099-C40C66FF867C}">
                  <a14:compatExt spid="_x0000_s193537"/>
                </a:ext>
                <a:ext uri="{FF2B5EF4-FFF2-40B4-BE49-F238E27FC236}">
                  <a16:creationId xmlns:a16="http://schemas.microsoft.com/office/drawing/2014/main" id="{00000000-0008-0000-0900-000001F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66567" name="Button 7" descr="HUMIDIFICATION" hidden="1">
              <a:extLst>
                <a:ext uri="{63B3BB69-23CF-44E3-9099-C40C66FF867C}">
                  <a14:compatExt spid="_x0000_s66567"/>
                </a:ext>
                <a:ext uri="{FF2B5EF4-FFF2-40B4-BE49-F238E27FC236}">
                  <a16:creationId xmlns:a16="http://schemas.microsoft.com/office/drawing/2014/main" id="{00000000-0008-0000-0F00-000007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449580</xdr:colOff>
          <xdr:row>0</xdr:row>
          <xdr:rowOff>60960</xdr:rowOff>
        </xdr:from>
        <xdr:to>
          <xdr:col>1</xdr:col>
          <xdr:colOff>434340</xdr:colOff>
          <xdr:row>2</xdr:row>
          <xdr:rowOff>114300</xdr:rowOff>
        </xdr:to>
        <xdr:sp macro="" textlink="">
          <xdr:nvSpPr>
            <xdr:cNvPr id="136193" name="Button 1" descr="HUMIDIFICATION" hidden="1">
              <a:extLst>
                <a:ext uri="{63B3BB69-23CF-44E3-9099-C40C66FF867C}">
                  <a14:compatExt spid="_x0000_s136193"/>
                </a:ext>
                <a:ext uri="{FF2B5EF4-FFF2-40B4-BE49-F238E27FC236}">
                  <a16:creationId xmlns:a16="http://schemas.microsoft.com/office/drawing/2014/main" id="{00000000-0008-0000-1000-0000011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xdr:colOff>
          <xdr:row>5</xdr:row>
          <xdr:rowOff>83820</xdr:rowOff>
        </xdr:from>
        <xdr:to>
          <xdr:col>1</xdr:col>
          <xdr:colOff>205740</xdr:colOff>
          <xdr:row>6</xdr:row>
          <xdr:rowOff>281940</xdr:rowOff>
        </xdr:to>
        <xdr:sp macro="" textlink="">
          <xdr:nvSpPr>
            <xdr:cNvPr id="134152" name="Button 8" descr="HUMIDIFICATION" hidden="1">
              <a:extLst>
                <a:ext uri="{63B3BB69-23CF-44E3-9099-C40C66FF867C}">
                  <a14:compatExt spid="_x0000_s134152"/>
                </a:ext>
                <a:ext uri="{FF2B5EF4-FFF2-40B4-BE49-F238E27FC236}">
                  <a16:creationId xmlns:a16="http://schemas.microsoft.com/office/drawing/2014/main" id="{00000000-0008-0000-1200-0000080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B050"/>
                  </a:solidFill>
                  <a:latin typeface="Calibri"/>
                  <a:ea typeface="Calibri"/>
                  <a:cs typeface="Calibri"/>
                </a:rPr>
                <a:t>ADD ROWS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shikesh Patil" id="{4EB4B6F3-1969-DB48-B081-3832009A33BA}" userId="S::rdp352@nyu.edu::e20300c4-5136-4b7e-8e5f-b0b27a3a3193" providerId="AD"/>
  <person displayName="Rushikesh Patil" id="{9818FCBF-2832-490A-8648-B86041484521}" userId="S::rush@scengineers.net::e09f5b4c-6f79-40b3-8f92-59a767b90d3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7755F1-7D0D-48B8-9F51-548BD5F89DD0}" name="AHU_Options" displayName="AHU_Options" ref="B25:Y26" totalsRowShown="0" headerRowDxfId="994" dataDxfId="992" headerRowBorderDxfId="993" tableBorderDxfId="991" totalsRowBorderDxfId="990">
  <autoFilter ref="B25:Y26" xr:uid="{917755F1-7D0D-48B8-9F51-548BD5F89DD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xr3:uid="{17E8A70B-31DB-4E62-8AE7-B7490EBADF0B}" name="AHU NAME" dataDxfId="989"/>
    <tableColumn id="18" xr3:uid="{366DBBF2-20A8-4D60-93FE-3D5A81578DB0}" name="DISCHARGE CONFIG" dataDxfId="988"/>
    <tableColumn id="19" xr3:uid="{0CEE3843-A0BB-4053-8B60-160B8D23C3A1}" name="RETURN CONFIG" dataDxfId="987"/>
    <tableColumn id="2" xr3:uid="{A907651C-1565-4CA5-8395-FBF4A48F82DF}" name="SUPPLY FAN VFD" dataDxfId="986"/>
    <tableColumn id="3" xr3:uid="{A1BA734B-6B37-4C81-BB00-B96C74EABC9E}" name="RETURN FAN" dataDxfId="985"/>
    <tableColumn id="4" xr3:uid="{1A2A118E-5D50-4E1F-8178-C4EFA7C8AFB2}" name="RETURN FAN VFD" dataDxfId="984"/>
    <tableColumn id="5" xr3:uid="{9789DB90-BB58-4C9A-84AA-733010BD2ABF}" name="ECONOMIZER" dataDxfId="983"/>
    <tableColumn id="6" xr3:uid="{7F342EF1-E9D4-4167-9F2C-FB7ECDD16AC5}" name="HEAT RECOVERY" dataDxfId="982"/>
    <tableColumn id="7" xr3:uid="{26A7AB30-2773-4D3A-B047-D020B43C98AD}" name="PREHEAT COIL" dataDxfId="981"/>
    <tableColumn id="8" xr3:uid="{698E1BCF-A037-4D50-BC22-BF171E579A40}" name="REHEAT COIL" dataDxfId="980"/>
    <tableColumn id="9" xr3:uid="{E1206B26-EAF7-482D-90C7-BD9B25AC7DF4}" name="SUPPLY SMOKE" dataDxfId="979"/>
    <tableColumn id="10" xr3:uid="{3C1D9E90-D1DB-4131-ACF1-AE091BA0F570}" name="RETURN SMOKE" dataDxfId="978"/>
    <tableColumn id="11" xr3:uid="{42FFA5A3-94D2-4855-A74E-B15F86BB7CA6}" name="SINGLE POWER" dataDxfId="977"/>
    <tableColumn id="12" xr3:uid="{A9CF85BF-E075-40CD-A3D8-8F54B4742E17}" name="UV LIGHTS" dataDxfId="976"/>
    <tableColumn id="13" xr3:uid="{E6598DEC-673D-4041-8DFD-65E1B4E86C00}" name="PRE FILTER " dataDxfId="975"/>
    <tableColumn id="14" xr3:uid="{A42CA4AB-ECDB-4F8E-9F88-493EE19C6264}" name="INTERMIDIATE FILTER" dataDxfId="974"/>
    <tableColumn id="15" xr3:uid="{7E317255-F402-493B-BA5E-6339E59F2B79}" name="ATFP DAMPERS" dataDxfId="973"/>
    <tableColumn id="16" xr3:uid="{F81087CC-928B-4AE1-A5CB-B814D3F9D515}" name="HUMIDIFIER" dataDxfId="972"/>
    <tableColumn id="17" xr3:uid="{6D8362BD-1A4B-4899-83CC-017029BF5237}" name="HEPA FILTER" dataDxfId="971"/>
    <tableColumn id="22" xr3:uid="{59F3482B-20A0-47AA-89CF-8DDA98876CF8}" name="CODE" dataDxfId="970"/>
    <tableColumn id="20" xr3:uid="{D10B0D3B-FA35-49FF-9292-26366F343177}" name="TYPE" dataDxfId="969"/>
    <tableColumn id="21" xr3:uid="{74B1B3FA-D4EE-4D9B-9958-30AEBE9B9744}" name="OADAMPER" dataDxfId="968"/>
    <tableColumn id="23" xr3:uid="{AF977824-E504-469B-B3B3-4BE3425C11DC}" name="RELIEF FAN" dataDxfId="967"/>
    <tableColumn id="24" xr3:uid="{D9CBD2E3-63A7-4C90-AD93-0B2FC814F43A}" name="GUIDELINE 36" dataDxfId="96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82FBA77-43E2-4D73-826F-97C34E2CE94F}" name="FCU_Options" displayName="FCU_Options" ref="B31:E32" insertRow="1" totalsRowShown="0" headerRowDxfId="965" headerRowBorderDxfId="964" tableBorderDxfId="963">
  <autoFilter ref="B31:E32" xr:uid="{182FBA77-43E2-4D73-826F-97C34E2CE94F}"/>
  <tableColumns count="4">
    <tableColumn id="1" xr3:uid="{0098A9B2-A0CF-4734-9853-75BD1E871481}" name="FCU NAME"/>
    <tableColumn id="2" xr3:uid="{E518FCA8-51C6-4D10-95C4-38BA3EB12462}" name="Filter"/>
    <tableColumn id="3" xr3:uid="{D5166B13-D72C-4571-B643-3C843309A83D}" name="Heating Coil"/>
    <tableColumn id="4" xr3:uid="{CA502002-6539-45A8-BAF0-1764CE049A55}" name="Type"/>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2C3102C-3336-4D61-88EC-8F7B4BBED797}" name="Humidifier_schedule" displayName="Humidifier_schedule" ref="A5:J6" insertRow="1" totalsRowShown="0">
  <autoFilter ref="A5:J6" xr:uid="{22C3102C-3336-4D61-88EC-8F7B4BBED797}"/>
  <tableColumns count="10">
    <tableColumn id="1" xr3:uid="{1020DD8C-EE4B-4D70-83F8-B2E122E80E01}" name="Tag"/>
    <tableColumn id="2" xr3:uid="{EE28FA77-BF80-459A-B1AA-CC13627DF9B5}" name="CFM"/>
    <tableColumn id="3" xr3:uid="{F05668B4-EE9F-4F8B-B139-4C4DD6905708}" name="OAT DB"/>
    <tableColumn id="4" xr3:uid="{7C683D11-84C3-46C8-8C50-ED3783ED75C2}" name="OAT WB"/>
    <tableColumn id="5" xr3:uid="{15A07F63-0921-49D0-A4E1-F55A74D217E0}" name="LAT DB"/>
    <tableColumn id="6" xr3:uid="{6C0648A2-0EE0-476A-9B10-B5D116CF83FD}" name="LAT WB"/>
    <tableColumn id="7" xr3:uid="{6D4A8D90-CA6A-401A-AD1F-BEB11307B223}" name="MAT DB"/>
    <tableColumn id="8" xr3:uid="{94EC8528-D833-4485-9B56-182CE61D0705}" name="MAT WB"/>
    <tableColumn id="9" xr3:uid="{81FBEC70-B67E-4A06-9E64-CD2A162CD88D}" name="lbs/hr"/>
    <tableColumn id="10" xr3:uid="{864EF201-A0BD-414C-BB12-96BD2B2A03F2}" name="Drain rate (GPM)"/>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13C620-49A9-45F8-90C7-F43B38D7A386}" name="TABLE4A4398" displayName="TABLE4A4398" ref="B4:AR6" totalsRowCount="1" headerRowDxfId="960" dataDxfId="958" totalsRowDxfId="956" headerRowBorderDxfId="959" tableBorderDxfId="957" totalsRowBorderDxfId="955">
  <autoFilter ref="B4:AR5" xr:uid="{524E3D6C-149E-4F0C-99B8-D02F54E8F335}"/>
  <sortState xmlns:xlrd2="http://schemas.microsoft.com/office/spreadsheetml/2017/richdata2" ref="B5:AQ5">
    <sortCondition ref="B4:B5"/>
  </sortState>
  <tableColumns count="43">
    <tableColumn id="2" xr3:uid="{75F5D034-2167-48F2-8558-2A694E35E16F}" name="ZONE" dataDxfId="954" totalsRowDxfId="953"/>
    <tableColumn id="22" xr3:uid="{34F4AE4A-AC12-4BD9-9F84-50CE63E3130E}" name="EXHAUST ZONE" dataDxfId="952" totalsRowDxfId="951"/>
    <tableColumn id="3" xr3:uid="{0F7C2FD8-8C97-4466-9519-526E2650935C}" name="ROOM" dataDxfId="950" totalsRowDxfId="949"/>
    <tableColumn id="4" xr3:uid="{95B8566D-E230-43A1-95EE-79F6022A54E2}" name="ROOM _x000a_NUMBER" dataDxfId="948" totalsRowDxfId="947"/>
    <tableColumn id="5" xr3:uid="{A005166F-99F0-4977-9137-A971210A2C73}" name="AREA _x000a_(FT²)" totalsRowFunction="sum" dataDxfId="946" totalsRowDxfId="945"/>
    <tableColumn id="6" xr3:uid="{5E622632-BAB2-4765-BF3A-120496AAAC63}" name="HG_x000a_(FT)" dataDxfId="944" totalsRowDxfId="943"/>
    <tableColumn id="1" xr3:uid="{E1CF5434-3260-4C6E-8FEF-41A00D79BBCC}" name="Desired Air Balance Difference" dataDxfId="942" totalsRowDxfId="941"/>
    <tableColumn id="10" xr3:uid="{D5D3292B-72B6-490D-9D6C-1DF61B341B89}" name="LOAD _x000a_(CFM)" dataDxfId="940" totalsRowDxfId="939"/>
    <tableColumn id="13" xr3:uid="{73844B7E-2708-4B37-B53F-155B107C314B}" name="FUNCTION OR SPACE" dataDxfId="938" totalsRowDxfId="937"/>
    <tableColumn id="8" xr3:uid="{E8804E66-9FD7-49D5-856E-BD2FF7625972}" name="Fire Rated Corridor?" dataDxfId="936" totalsRowDxfId="935">
      <calculatedColumnFormula>IF(ISNUMBER(SEARCH("Corridor",TABLE4A4398[[#This Row],[FUNCTION OR SPACE]])),"YES","NA")</calculatedColumnFormula>
    </tableColumn>
    <tableColumn id="14" xr3:uid="{BF1CC012-1946-46F7-9FD5-D156235B7028}" name="PRESSURE RELATIONSHIP TO ADJACENT AREAS" dataDxfId="934" totalsRowDxfId="933">
      <calculatedColumnFormula>VLOOKUP($J5,'UMC Table 4-A'!$A$2:$E$132,2,FALSE)</calculatedColumnFormula>
    </tableColumn>
    <tableColumn id="15" xr3:uid="{85B7FA28-6671-44B6-9F78-F6F689F47C29}" name="MIN OUTDOOR ACH_x000a_(AC/HR)" dataDxfId="932" totalsRowDxfId="931">
      <calculatedColumnFormula>VLOOKUP($J5,'UMC Table 4-A'!$A$2:$E$132,3,FALSE)</calculatedColumnFormula>
    </tableColumn>
    <tableColumn id="16" xr3:uid="{2DECFFEF-7BC4-4310-8A88-C1EB2C913EAF}" name="MIN OUTDOOR ACH _x000a_(CFM)" totalsRowFunction="sum" dataDxfId="930" totalsRowDxfId="929">
      <calculatedColumnFormula>IF(TABLE4A4398[[#This Row],[FUNCTION OR SPACE]]="NOT PER TABLE 4A","NA",IF(M5&lt;&gt;"NR",ROUNDUP((F5*G5*M5)/60,-1),0))</calculatedColumnFormula>
    </tableColumn>
    <tableColumn id="7" xr3:uid="{9AA6B0D6-AADF-41C3-892A-67A137FE52CF}" name="MIN TOTAL ACH (AC/HR)" dataDxfId="928" totalsRowDxfId="927">
      <calculatedColumnFormula>VLOOKUP($J5,'UMC Table 4-A'!$A$2:$E$132,4,FALSE)</calculatedColumnFormula>
    </tableColumn>
    <tableColumn id="11" xr3:uid="{D0F8340D-A3A4-482A-A993-59E8E490E481}" name="MIN TOTAL ACH _x000a_(CFM)" totalsRowFunction="sum" dataDxfId="926" totalsRowDxfId="925">
      <calculatedColumnFormula>IF(TABLE4A4398[[#This Row],[FUNCTION OR SPACE]]="NOT PER TABLE 4A","NA",IF(O5&lt;&gt;"NR",ROUNDUP((F5*G5*O5)/60,-1),0))</calculatedColumnFormula>
    </tableColumn>
    <tableColumn id="17" xr3:uid="{C8F29BBC-DBFD-4307-8426-4B0D9C523232}" name="100% EA_x000a_ (YES/NR)" dataDxfId="924" totalsRowDxfId="923">
      <calculatedColumnFormula>VLOOKUP($J5,'UMC Table 4-A'!$A$2:$E$132,5,FALSE)</calculatedColumnFormula>
    </tableColumn>
    <tableColumn id="9" xr3:uid="{D61DB494-0A8F-4ACF-83B7-9F7C3E8A654E}" name="MIN EA _x000a_(CFM)" totalsRowFunction="sum" dataDxfId="922" totalsRowDxfId="921">
      <calculatedColumnFormula>IF(Q5="Yes",P5,0)</calculatedColumnFormula>
    </tableColumn>
    <tableColumn id="36" xr3:uid="{E8D8DD45-77F8-4F99-9F4B-048638BDC1F6}" name="Exhaust Category" dataDxfId="920" totalsRowDxfId="919"/>
    <tableColumn id="35" xr3:uid="{18022B78-0D85-44BF-9F19-C044E83FFDAA}" name="ASHRAE_x000a_EXHAUST UNIT" dataDxfId="918" totalsRowDxfId="917"/>
    <tableColumn id="31" xr3:uid="{C440ED2D-AFFF-48D0-9FEA-89DC4EFFCF4B}" name="OCCUPANCY CATEGORY" dataDxfId="916" totalsRowDxfId="915"/>
    <tableColumn id="32" xr3:uid="{E2523F8E-F9D6-4E6C-9621-433B3575BF74}" name="RP_x000a_(CFM/PER PERSON)" dataDxfId="914" totalsRowDxfId="913">
      <calculatedColumnFormula>IF(TABLE4A4398[[#This Row],[FUNCTION OR SPACE]]="NOT PER TABLE 4A",VLOOKUP(TABLE4A4398[[#This Row],[OCCUPANCY CATEGORY]],Ashrae90.1Vent[#All],2,FALSE),"NA")</calculatedColumnFormula>
    </tableColumn>
    <tableColumn id="33" xr3:uid="{5FE63643-0612-4E35-A216-6D7C72AAD340}" name="RA_x000a_(CFM/FT²)" dataDxfId="912" totalsRowDxfId="911">
      <calculatedColumnFormula>IF(TABLE4A4398[[#This Row],[FUNCTION OR SPACE]]="NOT PER TABLE 4A", VLOOKUP(TABLE4A4398[[#This Row],[OCCUPANCY CATEGORY]],Ashrae90.1Vent[#All],3,FALSE),"NA")</calculatedColumnFormula>
    </tableColumn>
    <tableColumn id="38" xr3:uid="{B359A8F0-3D1F-45B3-AFF7-EC86BDEAABDE}" name="OCCUPANT DENSITY_x000a_(#/1000 FT²)" dataDxfId="910" totalsRowDxfId="909">
      <calculatedColumnFormula>IF(TABLE4A4398[[#This Row],[FUNCTION OR SPACE]]="NOT PER TABLE 4A",VLOOKUP(TABLE4A4398[[#This Row],[OCCUPANCY CATEGORY]],Ashrae90.1Vent[#All],4,FALSE),"NA")</calculatedColumnFormula>
    </tableColumn>
    <tableColumn id="39" xr3:uid="{820EE2EB-ECBD-4ED5-A5F9-9120E8B40194}" name="Air Class" dataDxfId="908" totalsRowDxfId="907">
      <calculatedColumnFormula>IF(TABLE4A4398[[#This Row],[FUNCTION OR SPACE]]="NOT PER TABLE 4A",VLOOKUP(TABLE4A4398[[#This Row],[OCCUPANCY CATEGORY]],Ashrae90.1Vent[#All],5,FALSE),"NA")</calculatedColumnFormula>
    </tableColumn>
    <tableColumn id="40" xr3:uid="{ED56158D-3101-4B65-BF75-95B2D013286F}" name="Actual Number of  Occupants (Ps)" totalsRowFunction="sum" dataDxfId="906" totalsRowDxfId="905">
      <calculatedColumnFormula>IF(TABLE4A4398[[#This Row],[FUNCTION OR SPACE]]="NOT PER TABLE 4A",TABLE4A4398[[#This Row],[Occupants (Pz)]],"NA")</calculatedColumnFormula>
    </tableColumn>
    <tableColumn id="41" xr3:uid="{3D300AA7-3BC0-4F9E-A529-1B623C116627}" name="Occupants (Pz)" totalsRowFunction="sum" dataDxfId="904" totalsRowDxfId="903">
      <calculatedColumnFormula>IF(TABLE4A4398[[#This Row],[FUNCTION OR SPACE]]="NOT PER TABLE 4A",CEILING((X5/1000)*F5,1),"NA")</calculatedColumnFormula>
    </tableColumn>
    <tableColumn id="34" xr3:uid="{9A10D821-019D-4768-B5CD-4F60A341F097}" name="DIVERSITY (D)" dataDxfId="902" totalsRowDxfId="901">
      <calculatedColumnFormula>IF(TABLE4A4398[[#This Row],[FUNCTION OR SPACE]]="NOT PER TABLE 4A",IF((TABLE4A4398[[#Totals],[Actual Number of  Occupants (Ps)]]/TABLE4A4398[[#Totals],[Occupants (Pz)]])&gt;1,1,TABLE4A4398[[#Totals],[Actual Number of  Occupants (Ps)]]/TABLE4A4398[[#Totals],[Occupants (Pz)]]),"NA")</calculatedColumnFormula>
    </tableColumn>
    <tableColumn id="29" xr3:uid="{DD094572-E09A-4995-B0A7-1C62C4DF4C1C}" name="Uncorrected OA (Vou)" dataDxfId="900" totalsRowDxfId="899">
      <calculatedColumnFormula>IF(TABLE4A4398[[#This Row],[FUNCTION OR SPACE]]="NOT PER TABLE 4A",(TABLE4A4398[[#This Row],[DIVERSITY (D)]]*TABLE4A4398[[#This Row],[RP
(CFM/PER PERSON)]]*TABLE4A4398[[#This Row],[Occupants (Pz)]])+(TABLE4A4398[[#This Row],[RA
(CFM/FT²)]]*TABLE4A4398[[#This Row],[AREA 
(FT²)]]),"NA")</calculatedColumnFormula>
    </tableColumn>
    <tableColumn id="30" xr3:uid="{BFD8B8AE-CE10-40EE-A240-627B2155D30A}" name="System Efficiency (Ev)" dataDxfId="898" totalsRowDxfId="897">
      <calculatedColumnFormula>IF(TABLE4A4398[[#This Row],[FUNCTION OR SPACE]]="NOT PER TABLE 4A",IF(TABLE4A4398[[#This Row],[DIVERSITY (D)]]&lt;0.6,(0.88*TABLE4A4398[[#This Row],[DIVERSITY (D)]]+0.22),0.75),"NA")</calculatedColumnFormula>
    </tableColumn>
    <tableColumn id="37" xr3:uid="{FCAC64D7-9E55-4B95-B80D-EE2A4B3140C8}" name="OUTSIDE AIRFLOW (CFM) (Vot)" dataDxfId="896" totalsRowDxfId="895">
      <calculatedColumnFormula>IF(TABLE4A4398[[#This Row],[FUNCTION OR SPACE]]="NOT PER TABLE 4A",TABLE4A4398[[#This Row],[Uncorrected OA (Vou)]]/TABLE4A4398[[#This Row],[System Efficiency (Ev)]],"NA")</calculatedColumnFormula>
    </tableColumn>
    <tableColumn id="45" xr3:uid="{8DEFDE14-82B8-4FEB-BFE6-A8E3DCF8157E}" name="EXHAUST RECOVERY" dataDxfId="894" totalsRowDxfId="893"/>
    <tableColumn id="43" xr3:uid="{553E57EC-275A-4C23-ABAA-EE610700AD32}" name="OS" dataDxfId="892" totalsRowDxfId="891">
      <calculatedColumnFormula>VLOOKUP(TABLE4A4398[[#This Row],[OCCUPANCY CATEGORY]],Ashrae90.1Vent[#All],6,FALSE)</calculatedColumnFormula>
    </tableColumn>
    <tableColumn id="49" xr3:uid="{BCEF2EF6-144B-41EA-869A-743A6587C1A2}" name="EA RATE_x000a_(CFM/UNIT)" dataDxfId="890" totalsRowDxfId="889">
      <calculatedColumnFormula>IF(TABLE4A4398[[#This Row],[Exhaust Category]]="NOT APPLICABLE","NA",VLOOKUP(TABLE4A4398[[#This Row],[Exhaust Category]],ASHRAE_EA_Table[#All],2,FALSE))</calculatedColumnFormula>
    </tableColumn>
    <tableColumn id="48" xr3:uid="{C140FDC8-801D-4A8A-9F76-A2BBB2A97DAE}" name="EA RATE_x000a_(CFM/FT²)" dataDxfId="888" totalsRowDxfId="887">
      <calculatedColumnFormula>IF(TABLE4A4398[[#This Row],[Exhaust Category]]="NOT APPLICABLE","NA",VLOOKUP(TABLE4A4398[[#This Row],[Exhaust Category]],ASHRAE_EA_Table[#All],3,FALSE))</calculatedColumnFormula>
    </tableColumn>
    <tableColumn id="42" xr3:uid="{CCE7B6C2-E1D3-4D15-BFD9-FF28C9DB5D52}" name="MIN ASHRAE EA_x000a_(CFM)" dataDxfId="886" totalsRowDxfId="885">
      <calculatedColumnFormula>IFERROR(IF(TABLE4A4398[[#This Row],[EA RATE
(CFM/UNIT)]] = 0,TABLE4A4398[[#This Row],[EA RATE
(CFM/FT²)]]*TABLE4A4398[[#This Row],[AREA 
(FT²)]],TABLE4A4398[[#This Row],[EA RATE
(CFM/UNIT)]]*TABLE4A4398[[#This Row],[ASHRAE
EXHAUST UNIT]]),0)</calculatedColumnFormula>
    </tableColumn>
    <tableColumn id="18" xr3:uid="{B4E4A5F2-E673-41CD-807E-EB0B06784D52}" name="CALCULATED SA _x000a_(CFM)" totalsRowFunction="sum" dataDxfId="884" totalsRowDxfId="883">
      <calculatedColumnFormula array="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calculatedColumnFormula>
    </tableColumn>
    <tableColumn id="50" xr3:uid="{38F8A5D5-B157-49E8-89E8-9652F3B87258}" name="DESIGN OA (CFM)" totalsRowFunction="sum" dataDxfId="882" totalsRowDxfId="881">
      <calculatedColumnFormula>MROUND(IF(TABLE4A4398[[#This Row],[FUNCTION OR SPACE]]="NOT PER TABLE 4A",TABLE4A4398[[#This Row],[OUTSIDE AIRFLOW (CFM) (Vot)]],TABLE4A4398[[#This Row],[MIN OUTDOOR ACH 
(CFM)]]),5)</calculatedColumnFormula>
    </tableColumn>
    <tableColumn id="19" xr3:uid="{592D566A-EAF9-4868-9203-EAE5805C105A}" name="DESIGN SA (CFM)" totalsRowFunction="sum" dataDxfId="880" totalsRowDxfId="879">
      <calculatedColumnFormula>TABLE4A4398[[#This Row],[CALCULATED SA 
(CFM)]]</calculatedColumnFormula>
    </tableColumn>
    <tableColumn id="20" xr3:uid="{479DA455-B30F-4304-A6BA-437ABAF457CA}" name="DESIGN RA (CFM)" totalsRowFunction="sum" dataDxfId="878" totalsRowDxfId="877">
      <calculatedColumnFormula array="1">returnair_comb(TABLE4A4398[[#This Row],[DESIGN SA (CFM)]],TABLE4A4398[[#This Row],[Desired Air Balance Difference]],TABLE4A4398[[#This Row],[100% EA
 (YES/NR)]],TABLE4A4398[[#This Row],[FUNCTION OR SPACE]],TABLE4A4398[[#This Row],[Exhaust Category]],TABLE4A4398[[#This Row],[MIN ASHRAE EA
(CFM)]])</calculatedColumnFormula>
    </tableColumn>
    <tableColumn id="21" xr3:uid="{2447FA84-AE3A-4904-ACF5-CA90B8C20D29}" name="DESIGN EA (CFM)" totalsRowFunction="sum" dataDxfId="876" totalsRowDxfId="875">
      <calculatedColumnFormula array="1">Exhaustair_comb(TABLE4A4398[[#This Row],[DESIGN SA (CFM)]],TABLE4A4398[[#This Row],[100% EA
 (YES/NR)]],TABLE4A4398[[#This Row],[MIN EA 
(CFM)]],TABLE4A4398[[#This Row],[Desired Air Balance Difference]],TABLE4A4398[[#This Row],[FUNCTION OR SPACE]],TABLE4A4398[[#This Row],[Exhaust Category]],TABLE4A4398[[#This Row],[MIN ASHRAE EA
(CFM)]])</calculatedColumnFormula>
    </tableColumn>
    <tableColumn id="24" xr3:uid="{AA29B302-8E46-43C4-9201-C349236070AB}" name="CFM/SF" dataDxfId="874" totalsRowDxfId="873">
      <calculatedColumnFormula>IFERROR(AK5/F5,"-")</calculatedColumnFormula>
    </tableColumn>
    <tableColumn id="25" xr3:uid="{47433AF6-25F4-4C77-BBBF-3398F6E4F534}" name="OSA PERCENT" dataDxfId="872" totalsRowDxfId="871">
      <calculatedColumnFormula>IF(TABLE4A4398[[#This Row],[DESIGN SA (CFM)]]=0,0,(TABLE4A4398[[#This Row],[DESIGN OA (CFM)]]/TABLE4A4398[[#This Row],[DESIGN SA (CFM)]])*100)</calculatedColumnFormula>
    </tableColumn>
    <tableColumn id="12" xr3:uid="{8DD58795-6E8A-4E1F-A48E-4C781960455E}" name="1 or 0.5 CFM/SF" dataDxfId="870" totalsRowDxfId="869">
      <calculatedColumnFormula>IF(OR((J5="PATIENT CORRIDOR"),(J5="TOILET")),(F5*0.5),F5)</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34BCADD-6596-42A1-93A2-852199BEEC51}" name="AHU_CAV_SCHEDULE441114" displayName="AHU_CAV_SCHEDULE441114" ref="A4:R7" totalsRowCount="1" headerRowDxfId="868" dataDxfId="866" totalsRowDxfId="864" headerRowBorderDxfId="867" tableBorderDxfId="865" totalsRowBorderDxfId="863">
  <autoFilter ref="A4:R6" xr:uid="{2A2B6BA6-0EAB-2349-A085-FD569408EC9D}"/>
  <tableColumns count="18">
    <tableColumn id="1" xr3:uid="{C5D95E6A-0C73-4A74-A2E8-647D33AAD0F9}" name="ZONE" totalsRowLabel="Total" dataDxfId="862" totalsRowDxfId="861"/>
    <tableColumn id="2" xr3:uid="{314B94B0-1389-404F-83E4-4AA1049F1022}" name="BASIS OF DESIGN _x000a_MANUFACTURER" dataDxfId="860" totalsRowDxfId="859"/>
    <tableColumn id="3" xr3:uid="{71BF9071-0B95-45AC-9F78-159F2BBA7A10}" name="DESCRIPTION" dataDxfId="858" totalsRowDxfId="857"/>
    <tableColumn id="4" xr3:uid="{20ABA679-9CAE-46A2-AC75-24E3416F8AE9}" name="CFM" dataDxfId="856" totalsRowDxfId="855">
      <calculatedColumnFormula>SUMIF(TABLE4A4398[ZONE],AHU_CAV_SCHEDULE441114[[#This Row],[ZONE]],TABLE4A4398[DESIGN SA (CFM)])</calculatedColumnFormula>
    </tableColumn>
    <tableColumn id="5" xr3:uid="{EB411437-B53E-4410-9476-63BDC1BDB7B1}" name="CAV INLET SIZE" dataDxfId="854" totalsRowDxfId="853">
      <calculatedColumnFormula>IFERROR((VLOOKUP(D5,'DO NOT TOUCH'!$C$9:$D$14,2,TRUE)),"TBD")</calculatedColumnFormula>
    </tableColumn>
    <tableColumn id="6" xr3:uid="{846F714B-F97C-486F-8DDA-40126A6313DE}" name="MAX TOTAL CAV PD _x000a_(IN W.G.)" dataDxfId="852" totalsRowDxfId="851">
      <calculatedColumnFormula>F4</calculatedColumnFormula>
    </tableColumn>
    <tableColumn id="7" xr3:uid="{66F138FC-ABB7-4803-8215-F15967B905F6}" name="EWT" dataDxfId="850" totalsRowDxfId="849">
      <calculatedColumnFormula>INPUT_OUTPUTS!$C$16</calculatedColumnFormula>
    </tableColumn>
    <tableColumn id="8" xr3:uid="{8FF10AD2-60ED-49B1-A888-0AD5180D7970}" name="DESIGN _x000a_LWT" dataDxfId="848" totalsRowDxfId="847">
      <calculatedColumnFormula>INPUT_OUTPUTS!$C$17</calculatedColumnFormula>
    </tableColumn>
    <tableColumn id="9" xr3:uid="{C39A4342-FBAA-4442-B7BD-4C47556C5075}" name="EAT" dataDxfId="846" totalsRowDxfId="845">
      <calculatedColumnFormula>I4</calculatedColumnFormula>
    </tableColumn>
    <tableColumn id="10" xr3:uid="{E4F5985D-BEFB-48AF-AE4D-E15C30B92458}" name="DESIGN _x000a_LAT" dataDxfId="844" totalsRowDxfId="843">
      <calculatedColumnFormula>J4</calculatedColumnFormula>
    </tableColumn>
    <tableColumn id="11" xr3:uid="{4B47405A-0987-490D-A084-8B30200952E4}" name="MIN MBH" totalsRowFunction="sum" dataDxfId="842" totalsRowDxfId="841">
      <calculatedColumnFormula>MROUND((1.08*(J5-I5)*D5)/1000,0.1)</calculatedColumnFormula>
    </tableColumn>
    <tableColumn id="12" xr3:uid="{2D26F161-8CD4-4ACB-B4CF-1593EEFA24E4}" name="AGPM" dataDxfId="840" totalsRowDxfId="839">
      <calculatedColumnFormula>(K5*1000)/(500*(G5-H5))</calculatedColumnFormula>
    </tableColumn>
    <tableColumn id="13" xr3:uid="{718A9E14-71FB-44FB-A6D9-573969303244}" name="GPM" totalsRowFunction="sum" dataDxfId="838" totalsRowDxfId="837">
      <calculatedColumnFormula>IF(L5&lt;0.5,0.5,L5)</calculatedColumnFormula>
    </tableColumn>
    <tableColumn id="18" xr3:uid="{03D1630C-B7B5-4A22-AB0F-4DC9EFF16FA6}" name="Branch Size" dataDxfId="836" totalsRowDxfId="835">
      <calculatedColumnFormula>IF($D$2 = "YES",(_xlfn.XLOOKUP(AHU_CAV_SCHEDULE441114[[#This Row],[GPM]],Hydronic_Pipe_Size[SOUND SENSITIVE],Hydronic_Pipe_Size[SIZE],"Not Found",1)),(_xlfn.XLOOKUP(AHU_CAV_SCHEDULE441114[[#This Row],[GPM]],Hydronic_Pipe_Size[GPM],Hydronic_Pipe_Size[SIZE],"Not Found",1)))</calculatedColumnFormula>
    </tableColumn>
    <tableColumn id="14" xr3:uid="{48AA7CC7-F7E3-42B2-8E54-C0090CF73D73}" name="MAX WATER _x000a_PD (FT)" dataDxfId="834" totalsRowDxfId="833">
      <calculatedColumnFormula>O4</calculatedColumnFormula>
    </tableColumn>
    <tableColumn id="15" xr3:uid="{2F879E77-08E0-4E86-ABAD-F2EC09E4C2E0}" name="OPER _x000a_WEIGHT_x000a_(LBS)" dataDxfId="832" totalsRowDxfId="831">
      <calculatedColumnFormula>IFERROR((_xlfn.XLOOKUP(E5,'DO NOT TOUCH'!$D$9:$D$14,'DO NOT TOUCH'!$E$9:$E$14,)),"TBD")</calculatedColumnFormula>
    </tableColumn>
    <tableColumn id="16" xr3:uid="{93897DAB-EFD2-4EDF-9881-CFE7F822A346}" name="MTG _x000a_DETAIL" dataDxfId="830" totalsRowDxfId="829">
      <calculatedColumnFormula>INPUT_OUTPUTS!$C$19</calculatedColumnFormula>
    </tableColumn>
    <tableColumn id="17" xr3:uid="{66A7058D-C4C4-4FEC-BC01-C8C881CF109A}" name="REMARKS" dataDxfId="828" totalsRowDxfId="827">
      <calculatedColumnFormula>R4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AB20A19-C9E0-43E5-9DFC-7B1B16356816}" name="Ahu_Ashrae_Generic34" displayName="Ahu_Ashrae_Generic34" ref="A4:AO18" totalsRowCount="1" headerRowDxfId="826" dataDxfId="824" totalsRowDxfId="822" headerRowBorderDxfId="825" tableBorderDxfId="823">
  <autoFilter ref="A4:AO17" xr:uid="{59B85608-0CD2-47F2-870C-191ADDE0C2B8}"/>
  <tableColumns count="41">
    <tableColumn id="1" xr3:uid="{F6AD08C8-F5C2-4371-B6D3-E13739FC0A68}" name="Zone" totalsRowLabel="TOTAL" dataDxfId="821" totalsRowDxfId="820"/>
    <tableColumn id="42" xr3:uid="{1C593EFE-247A-47A8-B1F9-90AB7D1CD032}" name="EXHAUST ZONE" dataDxfId="819" totalsRowDxfId="818"/>
    <tableColumn id="3" xr3:uid="{52D9CD09-BBEE-4EF3-B8B2-A6ACF7A55329}" name="Room Number" dataDxfId="817" totalsRowDxfId="816"/>
    <tableColumn id="4" xr3:uid="{27F0449D-E55E-440B-BBEA-AA21DC4A05A0}" name="Room" totalsRowFunction="count" dataDxfId="815" totalsRowDxfId="814"/>
    <tableColumn id="6" xr3:uid="{00C6989C-6BF6-4A4A-8991-AD9ACEF93DF3}" name="AREA (FT²)" totalsRowFunction="sum" dataDxfId="813" totalsRowDxfId="812"/>
    <tableColumn id="2" xr3:uid="{214F0A6B-7CE6-4546-BE0A-ED725C36034B}" name="Desired Room Balance" totalsRowFunction="sum" dataDxfId="811" totalsRowDxfId="810"/>
    <tableColumn id="18" xr3:uid="{4A35DB91-52FE-4710-9AE1-5389F75B4CE5}" name="Room Height" dataDxfId="809" totalsRowDxfId="808"/>
    <tableColumn id="7" xr3:uid="{5AB4EA84-CB07-4003-A8B3-BDCF279B1EF9}" name="OFFICE STANDARD _x000a_(CFM)" dataDxfId="807" totalsRowDxfId="806">
      <calculatedColumnFormula>IF((VLOOKUP(Ahu_Ashrae_Generic34[[#This Row],[Room Name]],Ashrae90.1Vent[#All],7,FALSE)) = "YES",MROUND(E5/2,5),MROUND(E5,5))</calculatedColumnFormula>
    </tableColumn>
    <tableColumn id="30" xr3:uid="{477676DC-BF90-4EBA-8A91-B6DB2E248DA8}" name="HEATING LOAD (CFM)" totalsRowFunction="sum" dataDxfId="805" totalsRowDxfId="804"/>
    <tableColumn id="8" xr3:uid="{ABA1031C-7B4C-44D1-A8F4-F0CD1FF0C07A}" name="COOLING LOAD (CFM)" totalsRowFunction="sum" dataDxfId="803" totalsRowDxfId="802"/>
    <tableColumn id="17" xr3:uid="{E2267B15-B2C6-4B44-A158-07339B0BE9ED}" name="Category" dataDxfId="801" totalsRowDxfId="800"/>
    <tableColumn id="5" xr3:uid="{76457F74-8144-49EE-9B9E-04B4CF47C232}" name="Room Name" dataDxfId="799" totalsRowDxfId="798"/>
    <tableColumn id="10" xr3:uid="{E46E9B1C-DDCA-483D-A7AB-37220D78057E}" name="Room Code" dataDxfId="797" totalsRowDxfId="796">
      <calculatedColumnFormula array="1">INDEX(VA_Room_Data_Sheets[ROOM CODE], MATCH(1, (Ahu_Ashrae_Generic34[[#This Row],[Category]]=VA_Room_Data_Sheets[CATEGORY]) * (Ahu_Ashrae_Generic34[[#This Row],[Room Name]]=VA_Room_Data_Sheets[ROOM NAME]), 0))</calculatedColumnFormula>
    </tableColumn>
    <tableColumn id="11" xr3:uid="{FD8072D3-B68B-490B-A6B0-667A8CD0A1A9}" name="Min Total ACH" dataDxfId="795" totalsRowDxfId="794">
      <calculatedColumnFormula array="1">INDEX(VA_Room_Data_Sheets[Minimum Total ACH], MATCH(1, (Ahu_Ashrae_Generic34[[#This Row],[Category]]=VA_Room_Data_Sheets[CATEGORY]) * (Ahu_Ashrae_Generic34[[#This Row],[Room Name]]=VA_Room_Data_Sheets[ROOM NAME]), 0))</calculatedColumnFormula>
    </tableColumn>
    <tableColumn id="9" xr3:uid="{40600936-4C35-444F-BD85-9AF7BCCE2C14}" name="Min Total CFM" dataDxfId="793" totalsRowDxfId="792">
      <calculatedColumnFormula array="1">ACH_to_CFM(Ahu_Ashrae_Generic34[[#This Row],[Min Total ACH]],Ahu_Ashrae_Generic34[[#This Row],[AREA (FT²)]],Ahu_Ashrae_Generic34[[#This Row],[Room Height]])</calculatedColumnFormula>
    </tableColumn>
    <tableColumn id="36" xr3:uid="{1C435125-EE36-44C9-AAD9-95A88BBB13E9}" name="Min OA ACH" dataDxfId="791" totalsRowDxfId="790">
      <calculatedColumnFormula array="1">INDEX(VA_Room_Data_Sheets[Minimum OA ACH], MATCH(1, (Ahu_Ashrae_Generic34[[#This Row],[Category]]=VA_Room_Data_Sheets[CATEGORY]) * (Ahu_Ashrae_Generic34[[#This Row],[Room Name]]=VA_Room_Data_Sheets[ROOM NAME]), 0))</calculatedColumnFormula>
    </tableColumn>
    <tableColumn id="39" xr3:uid="{45607D4D-96B5-411A-B4EC-019E45FCC278}" name="Min OA CFM" dataDxfId="789" totalsRowDxfId="788">
      <calculatedColumnFormula array="1">ACH_to_CFM(Ahu_Ashrae_Generic34[[#This Row],[Min OA ACH]],Ahu_Ashrae_Generic34[[#This Row],[AREA (FT²)]],Ahu_Ashrae_Generic34[[#This Row],[Room Height]])</calculatedColumnFormula>
    </tableColumn>
    <tableColumn id="12" xr3:uid="{D784F9BB-1918-4D5D-ACD7-67CEE569AB3C}" name="Room Air Balance" dataDxfId="787" totalsRowDxfId="786">
      <calculatedColumnFormula array="1">INDEX(VA_Room_Data_Sheets[Room Air Balance], MATCH(1, (Ahu_Ashrae_Generic34[[#This Row],[Category]]=VA_Room_Data_Sheets[CATEGORY]) * (Ahu_Ashrae_Generic34[[#This Row],[Room Name]]=VA_Room_Data_Sheets[ROOM NAME]), 0))</calculatedColumnFormula>
    </tableColumn>
    <tableColumn id="13" xr3:uid="{DC71BDA1-3D40-4727-9DF2-A382E32FE36C}" name="Occupants (Pz)" totalsRowFunction="sum" dataDxfId="785" totalsRowDxfId="784">
      <calculatedColumnFormula>CEILING((O5/1000)*E5,1)</calculatedColumnFormula>
    </tableColumn>
    <tableColumn id="20" xr3:uid="{795E833C-E608-491D-84FA-C759F4831526}" name="DIVERSITY (D)" dataDxfId="783" totalsRowDxfId="782">
      <calculatedColumnFormula>IF(($S$1/Ahu_Ashrae_Generic34[[#Totals],[Occupants (Pz)]])&gt;1,1,$S$1/Ahu_Ashrae_Generic34[[#Totals],[Occupants (Pz)]])</calculatedColumnFormula>
    </tableColumn>
    <tableColumn id="14" xr3:uid="{BC75AD5E-CB75-4290-ABAA-C5A55691B0A8}" name="Uncorrected OA (Vou)" totalsRowFunction="sum" dataDxfId="781" totalsRowDxfId="780">
      <calculatedColumnFormula>(Ahu_Ashrae_Generic34[[#This Row],[DIVERSITY (D)]]*Ahu_Ashrae_Generic34[[#This Row],[Room Code]]*Ahu_Ashrae_Generic34[[#This Row],[Occupants (Pz)]])+(Ahu_Ashrae_Generic34[[#This Row],[Min Total ACH]]*Ahu_Ashrae_Generic34[[#This Row],[AREA (FT²)]])</calculatedColumnFormula>
    </tableColumn>
    <tableColumn id="16" xr3:uid="{052B9E98-0445-437E-A0FA-38C01432B6B3}" name="System Efficiency (Ev)" dataDxfId="779" totalsRowDxfId="778">
      <calculatedColumnFormula>IF(Ahu_Ashrae_Generic34[[#This Row],[DIVERSITY (D)]]&lt;0.6,(0.88*Ahu_Ashrae_Generic34[[#This Row],[DIVERSITY (D)]]+0.22),0.75)</calculatedColumnFormula>
    </tableColumn>
    <tableColumn id="21" xr3:uid="{28F0F858-6BCE-4DF0-BEDF-E9D4DB57F850}" name="OUTSIDE AIRFLOW (CFM) (Vot)" totalsRowFunction="sum" dataDxfId="777" totalsRowDxfId="776">
      <calculatedColumnFormula>Ahu_Ashrae_Generic34[[#This Row],[Uncorrected OA (Vou)]]/Ahu_Ashrae_Generic34[[#This Row],[System Efficiency (Ev)]]</calculatedColumnFormula>
    </tableColumn>
    <tableColumn id="32" xr3:uid="{82892278-B72D-48FC-8A48-B6540EC726DE}" name="Breathing Zone OA (Vbz)" dataDxfId="775" totalsRowDxfId="774">
      <calculatedColumnFormula>(Ahu_Ashrae_Generic34[[#This Row],[Room Code]]*Ahu_Ashrae_Generic34[[#This Row],[Occupants (Pz)]])+(Ahu_Ashrae_Generic34[[#This Row],[Min Total ACH]]*Ahu_Ashrae_Generic34[[#This Row],[AREA (FT²)]])</calculatedColumnFormula>
    </tableColumn>
    <tableColumn id="25" xr3:uid="{F36A1494-180D-4286-8338-8CCE5041783D}" name="Zone Efficiency (Ez)" dataDxfId="773" totalsRowDxfId="772"/>
    <tableColumn id="24" xr3:uid="{7C4A291C-D264-4391-A667-8771AB3D69C0}" name="Zone OA (Voz)" dataDxfId="771" totalsRowDxfId="770">
      <calculatedColumnFormula>Ahu_Ashrae_Generic34[[#This Row],[Breathing Zone OA (Vbz)]]/Ahu_Ashrae_Generic34[[#This Row],[Zone Efficiency (Ez)]]</calculatedColumnFormula>
    </tableColumn>
    <tableColumn id="34" xr3:uid="{40EE482D-EF95-413E-9CEC-078FA50515BF}" name="EXHAUST RECOVERY" dataDxfId="769" totalsRowDxfId="768"/>
    <tableColumn id="33" xr3:uid="{8194B55A-7FF3-4A08-8FB2-4DD44416CAD9}" name="CO2 SENSOR" dataDxfId="767" totalsRowDxfId="766">
      <calculatedColumnFormula array="1">corequirement(Ahu_Ashrae_Generic34[[#This Row],[AREA (FT²)]],Ahu_Ashrae_Generic34[[#This Row],[EXHAUST RECOVERY]],INPUT_OUTPUTS!$C$6,Ahu_Ashrae_Generic34[[#This Row],[Min OA ACH]])</calculatedColumnFormula>
    </tableColumn>
    <tableColumn id="38" xr3:uid="{27B533FB-5020-42E8-968F-A502A91B3F4A}" name="OS" dataDxfId="765" totalsRowDxfId="764">
      <calculatedColumnFormula>VLOOKUP(Ahu_Ashrae_Generic34[[#This Row],[Room Name]],Ashrae90.1Vent[#All],6,FALSE)</calculatedColumnFormula>
    </tableColumn>
    <tableColumn id="37" xr3:uid="{084B6C82-3F9E-4123-AAE8-EF6E0BD48CF8}" name="MIN OA ALLOWABLE (WITH DCV)" totalsRowFunction="sum" dataDxfId="763" totalsRowDxfId="762">
      <calculatedColumnFormula>IF(Ahu_Ashrae_Generic34[[#This Row],[CO2 SENSOR]]="YES",IF(Ahu_Ashrae_Generic34[[#This Row],[OS]]="NO",Ahu_Ashrae_Generic34[[#This Row],[Min OA CFM]],0),IF(Ahu_Ashrae_Generic34[[#This Row],[OS]]="YES",Ahu_Ashrae_Generic34[[#This Row],[Min OA ACH]],Ahu_Ashrae_Generic34[[#This Row],[OUTSIDE AIRFLOW (CFM) (Vot)]]))</calculatedColumnFormula>
    </tableColumn>
    <tableColumn id="41" xr3:uid="{F5BBDA7F-BB4D-499A-AF89-6664041F1444}" name="Misc Exhaust From Room" dataDxfId="761" totalsRowDxfId="760"/>
    <tableColumn id="31" xr3:uid="{ED3E2439-C559-473F-AA56-83494C39DEBE}" name="Exhausted?" dataDxfId="759" totalsRowDxfId="758">
      <calculatedColumnFormula>IF(Ahu_Ashrae_Generic34[[#This Row],[Category]] = "NOT APPLICABLE","NR","YES")</calculatedColumnFormula>
    </tableColumn>
    <tableColumn id="27" xr3:uid="{8225599F-4793-4B5F-81D6-0A64A21D7A81}" name="EA RATE_x000a_(CFM/UNIT)" dataDxfId="757" totalsRowDxfId="756">
      <calculatedColumnFormula>IF(Ahu_Ashrae_Generic34[[#This Row],[Category]]="NOT APPLICABLE","NA",VLOOKUP(Ahu_Ashrae_Generic34[[#This Row],[Category]],ASHRAE_EA_Table[#All],2,FALSE))</calculatedColumnFormula>
    </tableColumn>
    <tableColumn id="19" xr3:uid="{A2A15FF7-6DC1-46B7-86E0-F52392751623}" name="EA RATE_x000a_(CFM/FT²)" dataDxfId="755" totalsRowDxfId="754">
      <calculatedColumnFormula>IF(Ahu_Ashrae_Generic34[[#This Row],[Category]]="NOT APPLICABLE","NA",VLOOKUP(Ahu_Ashrae_Generic34[[#This Row],[Category]],ASHRAE_EA_Table[#All],3,FALSE))</calculatedColumnFormula>
    </tableColumn>
    <tableColumn id="28" xr3:uid="{8F03FFE0-A7CB-4F6C-87E2-97E11DB52717}" name="MIN ASHRAE EA_x000a_(CFM)" dataDxfId="753" totalsRowDxfId="752">
      <calculatedColumnFormula>Ahu_Ashrae_Generic34[[#This Row],[Misc Exhaust From Room]]+(IFERROR(IF(Ahu_Ashrae_Generic34[[#This Row],[EA RATE
(CFM/UNIT)]] = "NA",Ahu_Ashrae_Generic34[[#This Row],[EA RATE
(CFM/FT²)]]*Ahu_Ashrae_Generic34[[#This Row],[AREA (FT²)]],Ahu_Ashrae_Generic34[[#This Row],[EA RATE
(CFM/UNIT)]]*Ahu_Ashrae_Generic34[[#This Row],[Room Height]]),0))</calculatedColumnFormula>
    </tableColumn>
    <tableColumn id="23" xr3:uid="{B90562A8-416A-4B43-8B9D-4D497EF824A6}" name="DESIGN VAV MIN SA(CFM)" dataDxfId="751" totalsRowDxfId="750">
      <calculatedColumnFormula>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calculatedColumnFormula>
    </tableColumn>
    <tableColumn id="15" xr3:uid="{22CE67D5-718C-4A63-BF99-F052AB5E339B}" name="Calculated VAV Max CFM" dataDxfId="749" totalsRowDxfId="748">
      <calculatedColumnFormula array="1">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calculatedColumnFormula>
    </tableColumn>
    <tableColumn id="22" xr3:uid="{755FB039-D100-4D4C-869F-87120C9152CF}" name="DESIGN VAV MAX SA(CFM)" totalsRowFunction="sum" dataDxfId="747" totalsRowDxfId="746">
      <calculatedColumnFormula>Ahu_Ashrae_Generic34[[#This Row],[Calculated VAV Max CFM]]</calculatedColumnFormula>
    </tableColumn>
    <tableColumn id="26" xr3:uid="{64035CC0-D271-4655-8806-FBAE4241D24D}" name="DESIGN RA (CFM)" totalsRowFunction="sum" dataDxfId="745" totalsRowDxfId="744">
      <calculatedColumnFormula array="1">Returnair(Ahu_Ashrae_Generic34[[#This Row],[Calculated VAV Max CFM]],Ahu_Ashrae_Generic34[[#This Row],[Desired Room Balance]],Ahu_Ashrae_Generic34[[#This Row],[Exhausted?]],Ahu_Ashrae_Generic34[[#This Row],[Misc Exhaust From Room]])</calculatedColumnFormula>
    </tableColumn>
    <tableColumn id="29" xr3:uid="{29B83C49-C113-431B-93DF-4F732F99A57F}" name="DESIGN EA (CFM)" totalsRowFunction="sum" dataDxfId="743" totalsRowDxfId="742">
      <calculatedColumnFormula array="1">Exhaustair(Ahu_Ashrae_Generic34[[#This Row],[DESIGN VAV MAX SA(CFM)]],Ahu_Ashrae_Generic34[[#This Row],[Exhausted?]],Ahu_Ashrae_Generic34[[#This Row],[MIN ASHRAE EA
(CFM)]],Ahu_Ashrae_Generic34[[#This Row],[Desired Room Balance]],Ahu_Ashrae_Generic34[[#This Row],[Misc Exhaust From Room]])</calculatedColumnFormula>
    </tableColumn>
    <tableColumn id="35" xr3:uid="{75E80B4F-D348-4247-B5DB-000AAC443C1E}" name="OA Frac (Z)" dataDxfId="741" totalsRowDxfId="740" dataCellStyle="Percent">
      <calculatedColumnFormula>Ahu_Ashrae_Generic34[[#This Row],[OUTSIDE AIRFLOW (CFM) (Vot)]]/Ahu_Ashrae_Generic34[[#This Row],[DESIGN VAV MAX SA(CFM)]]</calculatedColumnFormula>
    </tableColumn>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465A596-4458-43E1-9F47-66CDD4E01D7F}" name="Ahu_Ashrae_Generic" displayName="Ahu_Ashrae_Generic" ref="A4:AO18" totalsRowCount="1" headerRowDxfId="739" dataDxfId="737" totalsRowDxfId="735" headerRowBorderDxfId="738" tableBorderDxfId="736">
  <autoFilter ref="A4:AO17" xr:uid="{59B85608-0CD2-47F2-870C-191ADDE0C2B8}"/>
  <tableColumns count="41">
    <tableColumn id="1" xr3:uid="{13F107CA-E395-403B-99B4-65D454865F61}" name="Zone" totalsRowLabel="TOTAL" dataDxfId="734" totalsRowDxfId="733"/>
    <tableColumn id="42" xr3:uid="{5D3795E0-5226-4230-AF93-9C5B5452784F}" name="EXHAUST ZONE" dataDxfId="732" totalsRowDxfId="731"/>
    <tableColumn id="3" xr3:uid="{F80D1C16-C418-4B4D-A569-08FF0C9FD9A1}" name="Room Number" dataDxfId="730" totalsRowDxfId="729"/>
    <tableColumn id="4" xr3:uid="{216886B4-41A5-46E5-957A-D9BC5211544A}" name="Room" totalsRowFunction="count" dataDxfId="728" totalsRowDxfId="727"/>
    <tableColumn id="6" xr3:uid="{FAEF0092-9267-4494-BA56-051894961217}" name="AREA (FT²)" totalsRowFunction="sum" dataDxfId="726" totalsRowDxfId="725"/>
    <tableColumn id="2" xr3:uid="{76ECF316-2031-47B2-9965-A43A4AD098DC}" name="Desired Room Balance" totalsRowFunction="sum" dataDxfId="724" totalsRowDxfId="723"/>
    <tableColumn id="18" xr3:uid="{85D8CA67-8705-42BF-AC57-76DEABA6CFF8}" name="Exhaust Units" dataDxfId="722" totalsRowDxfId="721"/>
    <tableColumn id="7" xr3:uid="{22DEA9EB-6829-4F94-A62D-70E9DB4118C6}" name="OFFICE STANDARD _x000a_(CFM)" dataDxfId="720" totalsRowDxfId="719">
      <calculatedColumnFormula>IF((VLOOKUP(Ahu_Ashrae_Generic[[#This Row],[Occupancy Category]],Ashrae90.1Vent[#All],7,FALSE)) = "YES",MROUND(E5/2,5),MROUND(E5,5))</calculatedColumnFormula>
    </tableColumn>
    <tableColumn id="30" xr3:uid="{187C8161-5049-492D-91E7-1288698EBFEC}" name="HEATING LOAD (CFM)" totalsRowFunction="sum" dataDxfId="718" totalsRowDxfId="717"/>
    <tableColumn id="8" xr3:uid="{7E2DDD6E-E4CD-4911-B0AB-66850CA0C7DA}" name="COOLING LOAD (CFM)" totalsRowFunction="sum" dataDxfId="716" totalsRowDxfId="715"/>
    <tableColumn id="17" xr3:uid="{AB90DFB5-D9F7-4991-B79C-73953940B8A9}" name="Exhaust Category" dataDxfId="714" totalsRowDxfId="713"/>
    <tableColumn id="5" xr3:uid="{D0FC3464-26A6-4825-B194-880E47740C1D}" name="Occupancy Category" dataDxfId="712" totalsRowDxfId="711"/>
    <tableColumn id="10" xr3:uid="{776D97F5-1DFD-4EF3-AB3B-86F72E19D6E4}" name="RP_x000a_(CFM/PER PERSON)" dataDxfId="710" totalsRowDxfId="709">
      <calculatedColumnFormula>VLOOKUP(Ahu_Ashrae_Generic[[#This Row],[Occupancy Category]],Ashrae90.1Vent[#All],2,FALSE)</calculatedColumnFormula>
    </tableColumn>
    <tableColumn id="11" xr3:uid="{76672635-C795-4F06-BEC7-0313455A053C}" name="RA_x000a_(CFM/FT²)" dataDxfId="708" totalsRowDxfId="707">
      <calculatedColumnFormula>VLOOKUP(Ahu_Ashrae_Generic[[#This Row],[Occupancy Category]],Ashrae90.1Vent[#All],3,FALSE)</calculatedColumnFormula>
    </tableColumn>
    <tableColumn id="9" xr3:uid="{8CD6DD67-6216-4CF3-8380-930B3A37E6A0}" name="OCCUPANT DENSITY_x000a_(#/1000 FT²)" dataDxfId="706" totalsRowDxfId="705">
      <calculatedColumnFormula>VLOOKUP(Ahu_Ashrae_Generic[[#This Row],[Occupancy Category]],Ashrae90.1Vent[#All],4,FALSE)</calculatedColumnFormula>
    </tableColumn>
    <tableColumn id="36" xr3:uid="{2B84F988-11BD-4257-8AD4-0E38D49C1594}" name="Occupant Component" dataDxfId="704" totalsRowDxfId="703">
      <calculatedColumnFormula>Ahu_Ashrae_Generic[[#This Row],[Occupants (Pz)]]*Ahu_Ashrae_Generic[[#This Row],[RP
(CFM/PER PERSON)]]</calculatedColumnFormula>
    </tableColumn>
    <tableColumn id="39" xr3:uid="{2BADBECE-EE13-49DD-AFCA-C121DBABD78C}" name="Area Component" dataDxfId="702" totalsRowDxfId="701">
      <calculatedColumnFormula>Ahu_Ashrae_Generic[[#This Row],[RA
(CFM/FT²)]]*Ahu_Ashrae_Generic[[#This Row],[AREA (FT²)]]</calculatedColumnFormula>
    </tableColumn>
    <tableColumn id="12" xr3:uid="{A2512039-1BFD-4637-9149-E45B36F1BCBD}" name="Air Class" dataDxfId="700" totalsRowDxfId="699">
      <calculatedColumnFormula>VLOOKUP(Ahu_Ashrae_Generic[[#This Row],[Occupancy Category]],Ashrae90.1Vent[#All],5,FALSE)</calculatedColumnFormula>
    </tableColumn>
    <tableColumn id="13" xr3:uid="{47B0F9A6-920C-43DF-A14A-8F0C04A59C11}" name="Occupants (Pz)" totalsRowFunction="sum" dataDxfId="698" totalsRowDxfId="697">
      <calculatedColumnFormula>CEILING((O5/1000)*E5,1)</calculatedColumnFormula>
    </tableColumn>
    <tableColumn id="20" xr3:uid="{D88BB767-D9CE-4502-9AE5-38238841E676}" name="DIVERSITY (D)" dataDxfId="696" totalsRowDxfId="695">
      <calculatedColumnFormula>IF(($S$1/Ahu_Ashrae_Generic[[#Totals],[Occupants (Pz)]])&gt;1,1,$S$1/Ahu_Ashrae_Generic[[#Totals],[Occupants (Pz)]])</calculatedColumnFormula>
    </tableColumn>
    <tableColumn id="14" xr3:uid="{515960F0-0D57-4682-8B27-4890C0589FBE}" name="Uncorrected OA (Vou)" totalsRowFunction="sum" dataDxfId="694" totalsRowDxfId="693">
      <calculatedColumnFormula>(Ahu_Ashrae_Generic[[#This Row],[DIVERSITY (D)]]*Ahu_Ashrae_Generic[[#This Row],[RP
(CFM/PER PERSON)]]*Ahu_Ashrae_Generic[[#This Row],[Occupants (Pz)]])+(Ahu_Ashrae_Generic[[#This Row],[RA
(CFM/FT²)]]*Ahu_Ashrae_Generic[[#This Row],[AREA (FT²)]])</calculatedColumnFormula>
    </tableColumn>
    <tableColumn id="16" xr3:uid="{44D80A74-09DA-42BB-971A-4586DD89EC4E}" name="System Efficiency (Ev)" dataDxfId="692" totalsRowDxfId="691">
      <calculatedColumnFormula>IF(Ahu_Ashrae_Generic[[#This Row],[DIVERSITY (D)]]&lt;0.6,(0.88*Ahu_Ashrae_Generic[[#This Row],[DIVERSITY (D)]]+0.22),0.75)</calculatedColumnFormula>
    </tableColumn>
    <tableColumn id="21" xr3:uid="{5A56127A-64F8-417C-A88F-2F9F5C0817E1}" name="OUTSIDE AIRFLOW (CFM) (Vot)" totalsRowFunction="sum" dataDxfId="690" totalsRowDxfId="689">
      <calculatedColumnFormula>Ahu_Ashrae_Generic[[#This Row],[Uncorrected OA (Vou)]]/Ahu_Ashrae_Generic[[#This Row],[System Efficiency (Ev)]]</calculatedColumnFormula>
    </tableColumn>
    <tableColumn id="32" xr3:uid="{F510565D-7EF1-4FFE-AD9C-E9D58436E4AB}" name="Breathing Zone OA (Vbz)" dataDxfId="688" totalsRowDxfId="687">
      <calculatedColumnFormula>(Ahu_Ashrae_Generic[[#This Row],[RP
(CFM/PER PERSON)]]*Ahu_Ashrae_Generic[[#This Row],[Occupants (Pz)]])+(Ahu_Ashrae_Generic[[#This Row],[RA
(CFM/FT²)]]*Ahu_Ashrae_Generic[[#This Row],[AREA (FT²)]])</calculatedColumnFormula>
    </tableColumn>
    <tableColumn id="25" xr3:uid="{496E79E4-1236-4F15-BD06-CB27BF479A18}" name="Zone Efficiency (Ez)" dataDxfId="686" totalsRowDxfId="685"/>
    <tableColumn id="24" xr3:uid="{44A19890-0B61-48FE-AEE6-B4AF44D95889}" name="Zone OA (Voz)" dataDxfId="684" totalsRowDxfId="683">
      <calculatedColumnFormula>Ahu_Ashrae_Generic[[#This Row],[Breathing Zone OA (Vbz)]]/Ahu_Ashrae_Generic[[#This Row],[Zone Efficiency (Ez)]]</calculatedColumnFormula>
    </tableColumn>
    <tableColumn id="34" xr3:uid="{049255D7-F302-4459-B2F6-81F01B39A78F}" name="EXHAUST RECOVERY" dataDxfId="682" totalsRowDxfId="681"/>
    <tableColumn id="33" xr3:uid="{84D3A249-3F9E-4505-B5AC-4AF46EFA1A96}" name="CO2 SENSOR" dataDxfId="680" totalsRowDxfId="679">
      <calculatedColumnFormula array="1">corequirement(Ahu_Ashrae_Generic[[#This Row],[AREA (FT²)]],Ahu_Ashrae_Generic[[#This Row],[EXHAUST RECOVERY]],INPUT_OUTPUTS!$C$6,Ahu_Ashrae_Generic[[#This Row],[Occupant Component]])</calculatedColumnFormula>
    </tableColumn>
    <tableColumn id="38" xr3:uid="{4FD9694B-3228-493F-A0BC-7381C760E767}" name="OS" dataDxfId="678" totalsRowDxfId="677">
      <calculatedColumnFormula>VLOOKUP(Ahu_Ashrae_Generic[[#This Row],[Occupancy Category]],Ashrae90.1Vent[#All],6,FALSE)</calculatedColumnFormula>
    </tableColumn>
    <tableColumn id="37" xr3:uid="{1FFAD58F-B1CC-4422-9390-3E4F6D87B6FE}" name="MIN OA ALLOWABLE (WITH DCV)" totalsRowFunction="sum" dataDxfId="676" totalsRowDxfId="675">
      <calculatedColumnFormula>IF(Ahu_Ashrae_Generic[[#This Row],[CO2 SENSOR]]="YES",IF(Ahu_Ashrae_Generic[[#This Row],[OS]]="NO",Ahu_Ashrae_Generic[[#This Row],[Area Component]],0),IF(Ahu_Ashrae_Generic[[#This Row],[OS]]="YES",Ahu_Ashrae_Generic[[#This Row],[Occupant Component]],Ahu_Ashrae_Generic[[#This Row],[OUTSIDE AIRFLOW (CFM) (Vot)]]))</calculatedColumnFormula>
    </tableColumn>
    <tableColumn id="41" xr3:uid="{EB82F0E2-5989-48A2-937C-9A5DE361598F}" name="Misc Exhaust From Room" dataDxfId="674" totalsRowDxfId="673"/>
    <tableColumn id="31" xr3:uid="{04EA3EE2-EB22-497B-87B1-DCFA9B5E63BE}" name="Exhausted?" dataDxfId="672" totalsRowDxfId="671">
      <calculatedColumnFormula>IF(Ahu_Ashrae_Generic[[#This Row],[Exhaust Category]] = "NOT APPLICABLE","NR","YES")</calculatedColumnFormula>
    </tableColumn>
    <tableColumn id="27" xr3:uid="{3CC2EE5F-91BA-47CD-9CAA-E5A58A707F37}" name="EA RATE_x000a_(CFM/UNIT)" dataDxfId="670" totalsRowDxfId="669">
      <calculatedColumnFormula>IF(Ahu_Ashrae_Generic[[#This Row],[Exhaust Category]]="NOT APPLICABLE","NA",VLOOKUP(Ahu_Ashrae_Generic[[#This Row],[Exhaust Category]],ASHRAE_EA_Table[#All],2,FALSE))</calculatedColumnFormula>
    </tableColumn>
    <tableColumn id="19" xr3:uid="{4ED74037-DFDA-4E5B-81B4-B902AD475608}" name="EA RATE_x000a_(CFM/FT²)" dataDxfId="668" totalsRowDxfId="667">
      <calculatedColumnFormula>IF(Ahu_Ashrae_Generic[[#This Row],[Exhaust Category]]="NOT APPLICABLE","NA",VLOOKUP(Ahu_Ashrae_Generic[[#This Row],[Exhaust Category]],ASHRAE_EA_Table[#All],3,FALSE))</calculatedColumnFormula>
    </tableColumn>
    <tableColumn id="28" xr3:uid="{9C99C5DB-489C-4002-B04A-B16D24ABF10C}" name="MIN ASHRAE EA_x000a_(CFM)" dataDxfId="666" totalsRowDxfId="665">
      <calculatedColumnFormula>Ahu_Ashrae_Generic[[#This Row],[Misc Exhaust From Room]]+(IFERROR(IF(Ahu_Ashrae_Generic[[#This Row],[EA RATE
(CFM/UNIT)]] = "NA",Ahu_Ashrae_Generic[[#This Row],[EA RATE
(CFM/FT²)]]*Ahu_Ashrae_Generic[[#This Row],[AREA (FT²)]],Ahu_Ashrae_Generic[[#This Row],[EA RATE
(CFM/UNIT)]]*Ahu_Ashrae_Generic[[#This Row],[Exhaust Units]]),0))</calculatedColumnFormula>
    </tableColumn>
    <tableColumn id="23" xr3:uid="{0CD81329-9529-4F5D-8D4B-B139A3800A5C}" name="DESIGN VAV MIN SA(CFM)" dataDxfId="664" totalsRowDxfId="663">
      <calculatedColumnFormula>IF(Ahu_Ashrae_Generic[[#This Row],[Exhausted?]]="YES",Ahu_Ashrae_Generic[[#This Row],[Calculated VAV Max CFM]],(MROUND(IF((Ahu_Ashrae_Generic[[#This Row],[DESIGN VAV MAX SA(CFM)]]*0.3)&lt;(Ahu_Ashrae_Generic[[#This Row],[Zone OA (Voz)]]*1.5),(Ahu_Ashrae_Generic[[#This Row],[Zone OA (Voz)]]*1.5),(Ahu_Ashrae_Generic[[#This Row],[DESIGN VAV MAX SA(CFM)]]*0.3)),5)))</calculatedColumnFormula>
    </tableColumn>
    <tableColumn id="15" xr3:uid="{4B0BA46E-EFF8-4076-AE85-C803D630E363}" name="Calculated VAV Max CFM" dataDxfId="662" totalsRowDxfId="661">
      <calculatedColumnFormula array="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calculatedColumnFormula>
    </tableColumn>
    <tableColumn id="22" xr3:uid="{C5A8A555-88AC-459F-9F83-83E50B8FB331}" name="DESIGN VAV MAX SA(CFM)" totalsRowFunction="sum" dataDxfId="660" totalsRowDxfId="659">
      <calculatedColumnFormula>Ahu_Ashrae_Generic[[#This Row],[Calculated VAV Max CFM]]</calculatedColumnFormula>
    </tableColumn>
    <tableColumn id="26" xr3:uid="{C209B658-68EC-4534-8D10-A67298439FE6}" name="DESIGN RA (CFM)" totalsRowFunction="sum" dataDxfId="658" totalsRowDxfId="657">
      <calculatedColumnFormula array="1">Returnair(Ahu_Ashrae_Generic[[#This Row],[Calculated VAV Max CFM]],Ahu_Ashrae_Generic[[#This Row],[Desired Room Balance]],Ahu_Ashrae_Generic[[#This Row],[Exhausted?]],Ahu_Ashrae_Generic[[#This Row],[Misc Exhaust From Room]])</calculatedColumnFormula>
    </tableColumn>
    <tableColumn id="29" xr3:uid="{2FC77A91-15C9-4850-A858-6F923D344079}" name="DESIGN EA (CFM)" totalsRowFunction="sum" dataDxfId="656" totalsRowDxfId="655">
      <calculatedColumnFormula array="1">Exhaustair(Ahu_Ashrae_Generic[[#This Row],[DESIGN VAV MAX SA(CFM)]],Ahu_Ashrae_Generic[[#This Row],[Exhausted?]],Ahu_Ashrae_Generic[[#This Row],[MIN ASHRAE EA
(CFM)]],Ahu_Ashrae_Generic[[#This Row],[Desired Room Balance]],Ahu_Ashrae_Generic[[#This Row],[Misc Exhaust From Room]])</calculatedColumnFormula>
    </tableColumn>
    <tableColumn id="35" xr3:uid="{ACFFB6CD-9605-47FC-BF87-E301EDFFAF73}" name="OA Frac (Z)" dataDxfId="654" totalsRowDxfId="653" dataCellStyle="Percent">
      <calculatedColumnFormula>Ahu_Ashrae_Generic[[#This Row],[OUTSIDE AIRFLOW (CFM) (Vot)]]/Ahu_Ashrae_Generic[[#This Row],[DESIGN VAV MAX SA(CFM)]]</calculatedColumnFormula>
    </tableColumn>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26ED529-4751-4709-9BFD-AA90E931CCBD}" name="AHU_VAV_SCHEDULE" displayName="AHU_VAV_SCHEDULE" ref="A4:T17" totalsRowCount="1" headerRowDxfId="652" dataDxfId="650" totalsRowDxfId="648" headerRowBorderDxfId="651" tableBorderDxfId="649" totalsRowBorderDxfId="647">
  <autoFilter ref="A4:T16" xr:uid="{13D566E9-CE9D-4920-9557-440C01DE1A40}"/>
  <tableColumns count="20">
    <tableColumn id="1" xr3:uid="{F4100601-C8F7-4EDA-B9ED-EC5144A4622B}" name="ZONE" totalsRowLabel="Total" dataDxfId="646" totalsRowDxfId="645"/>
    <tableColumn id="2" xr3:uid="{DE711A04-3BAB-4400-94F9-9EA1A3D93724}" name="BASIS OF DESIGN _x000a_MANUFACTURER" dataDxfId="644" totalsRowDxfId="643"/>
    <tableColumn id="3" xr3:uid="{5EFC2877-1E13-4BC7-9997-881F4F723359}" name="DESCRIPTION" dataDxfId="642" totalsRowDxfId="641"/>
    <tableColumn id="18" xr3:uid="{4BD82A36-B59C-4680-BDCB-C1D5CE6D8206}" name="MIN VAV_x000a_(CFM)" dataDxfId="640" totalsRowDxfId="639">
      <calculatedColumnFormula>SUMIF(Ahu_Ashrae_Generic[Zone],AHU_VAV_SCHEDULE[[#This Row],[ZONE]],Ahu_Ashrae_Generic[DESIGN VAV MIN SA(CFM)])</calculatedColumnFormula>
    </tableColumn>
    <tableColumn id="20" xr3:uid="{4C9D23FA-7727-4CB2-BC60-4CDC07EFE151}" name="MAX VAV_x000a_(CFM)" dataDxfId="638" totalsRowDxfId="637">
      <calculatedColumnFormula>SUMIF(Ahu_Ashrae_Generic[Zone],AHU_VAV_SCHEDULE[[#This Row],[ZONE]],Ahu_Ashrae_Generic[DESIGN VAV MAX SA(CFM)])</calculatedColumnFormula>
    </tableColumn>
    <tableColumn id="5" xr3:uid="{FA2A9B0D-AB59-4FC8-A9ED-5973CFB8D00D}" name="VAV INLET SIZE_x000a_(IN)" dataDxfId="636" totalsRowDxfId="635">
      <calculatedColumnFormula>IFERROR((VLOOKUP(AHU_VAV_SCHEDULE[[#This Row],[MAX VAV
(CFM)]],'DO NOT TOUCH'!$C$9:$D$14,2,TRUE)),"TBD")</calculatedColumnFormula>
    </tableColumn>
    <tableColumn id="6" xr3:uid="{7BD7D03A-0062-4AE1-A137-B7A43FB31DE2}" name="MAX TOTAL VAV PD _x000a_(IN W.G.)" dataDxfId="634" totalsRowDxfId="633">
      <calculatedColumnFormula>G4</calculatedColumnFormula>
    </tableColumn>
    <tableColumn id="19" xr3:uid="{5F3FB950-6412-4753-A80D-B928E2E9B62C}" name="HEATING AIRFLOW _x000a_(CFM)" dataDxfId="632" totalsRowDxfId="631">
      <calculatedColumnFormula>AHU_VAV_SCHEDULE[[#This Row],[MIN VAV
(CFM)]]</calculatedColumnFormula>
    </tableColumn>
    <tableColumn id="7" xr3:uid="{252B9BF8-54B1-493D-9221-BD358C10E426}" name="EWT" dataDxfId="630" totalsRowDxfId="629">
      <calculatedColumnFormula>INPUT_OUTPUTS!$C$16</calculatedColumnFormula>
    </tableColumn>
    <tableColumn id="8" xr3:uid="{E16AE38C-7652-4771-A602-4043B581B8CE}" name="DESIGN _x000a_LWT" dataDxfId="628" totalsRowDxfId="627">
      <calculatedColumnFormula>INPUT_OUTPUTS!$C$17</calculatedColumnFormula>
    </tableColumn>
    <tableColumn id="9" xr3:uid="{494A5CA5-FC2F-4016-9EDA-AAD0074B0288}" name="EAT" dataDxfId="626" totalsRowDxfId="625">
      <calculatedColumnFormula>K4</calculatedColumnFormula>
    </tableColumn>
    <tableColumn id="10" xr3:uid="{7B534454-B13B-4823-B389-688DB1FFC0C2}" name="DESIGN _x000a_LAT" dataDxfId="624" totalsRowDxfId="623">
      <calculatedColumnFormula>L4</calculatedColumnFormula>
    </tableColumn>
    <tableColumn id="11" xr3:uid="{58C190FA-9339-4475-8FE4-B94254008B39}" name="MIN MBH" totalsRowFunction="sum" dataDxfId="622" totalsRowDxfId="621">
      <calculatedColumnFormula>MROUND((1.08*(L5-K5)*AHU_VAV_SCHEDULE[[#This Row],[HEATING AIRFLOW 
(CFM)]])/1000,0.1)</calculatedColumnFormula>
    </tableColumn>
    <tableColumn id="12" xr3:uid="{E8FC4A04-BE1B-467E-A94D-1BC0BAFF2FAC}" name="AGPM" dataDxfId="620" totalsRowDxfId="619">
      <calculatedColumnFormula>(M5*1000)/(500*(I5-J5))</calculatedColumnFormula>
    </tableColumn>
    <tableColumn id="13" xr3:uid="{AAA466EF-B5D0-49B1-A9E7-E101103D64B4}" name="GPM" totalsRowFunction="sum" dataDxfId="618" totalsRowDxfId="617">
      <calculatedColumnFormula>IF(N5&lt;0.5,0.5,N5)</calculatedColumnFormula>
    </tableColumn>
    <tableColumn id="4" xr3:uid="{D58EE183-F16C-406D-A4E9-EA1C28994E7C}" name="BRANCH SIZE (IN)" dataDxfId="616">
      <calculatedColumnFormula>IF($D$2 = "YES",(_xlfn.XLOOKUP(AHU_VAV_SCHEDULE[[#This Row],[GPM]],Hydronic_Pipe_Size[SOUND SENSITIVE],Hydronic_Pipe_Size[SIZE],"Not Found",1)),(_xlfn.XLOOKUP(AHU_VAV_SCHEDULE[[#This Row],[GPM]],Hydronic_Pipe_Size[GPM],Hydronic_Pipe_Size[SIZE],"Not Found",1)))</calculatedColumnFormula>
    </tableColumn>
    <tableColumn id="14" xr3:uid="{8B37A8C5-27D0-4D67-9351-B38D9137444F}" name="MAX WATER _x000a_PD (FT)" dataDxfId="615" totalsRowDxfId="614">
      <calculatedColumnFormula>Q4</calculatedColumnFormula>
    </tableColumn>
    <tableColumn id="15" xr3:uid="{CE1AD8A3-6CC9-4182-A598-A96DC629A332}" name="OPER _x000a_WEIGHT_x000a_(LBS)" dataDxfId="613" totalsRowDxfId="612">
      <calculatedColumnFormula>IFERROR((_xlfn.XLOOKUP(F5,'DO NOT TOUCH'!$D$9:$D$14,'DO NOT TOUCH'!$E$9:$E$14,)),"TBD")</calculatedColumnFormula>
    </tableColumn>
    <tableColumn id="16" xr3:uid="{46061A8B-CF07-404A-89CF-B3DC053B9D47}" name="MTG _x000a_DETAIL" dataDxfId="611" totalsRowDxfId="610">
      <calculatedColumnFormula>INPUT_OUTPUTS!$C$19</calculatedColumnFormula>
    </tableColumn>
    <tableColumn id="17" xr3:uid="{AFA49697-1C1E-4B56-9982-63047E73069E}" name="REMARKS" dataDxfId="609" totalsRowDxfId="608">
      <calculatedColumnFormula>T4</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F41AF6D-5198-40C5-AFC6-4AD09F4B3340}" name="room_temperature" displayName="room_temperature" ref="B3:E33" totalsRowShown="0" headerRowDxfId="607" headerRowBorderDxfId="606" tableBorderDxfId="605" headerRowCellStyle="Heading 1">
  <autoFilter ref="B3:E33" xr:uid="{4F41AF6D-5198-40C5-AFC6-4AD09F4B3340}"/>
  <tableColumns count="4">
    <tableColumn id="1" xr3:uid="{8C4358E4-8332-46EE-9633-E01BA5E0FFA8}" name="Room Type"/>
    <tableColumn id="2" xr3:uid="{8EC9D9B9-6EA7-4063-AB41-A2A92B121CB5}" name="Summer Indoor DB"/>
    <tableColumn id="3" xr3:uid="{7A5A052E-B0BD-44E3-B13B-48E7A765D302}" name="Summer Indoor WB"/>
    <tableColumn id="4" xr3:uid="{7A6778F2-8E52-4700-8CF5-72274E8B9F21}" name="Winter Indoor DB"/>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519AAB06-4ADD-441F-BC43-9C3D354F3909}" name="Room_Data_QC" displayName="Room_Data_QC" ref="A4:H48" totalsRowCount="1" headerRowDxfId="600" dataDxfId="599">
  <autoFilter ref="A4:H47" xr:uid="{519AAB06-4ADD-441F-BC43-9C3D354F3909}"/>
  <tableColumns count="8">
    <tableColumn id="1" xr3:uid="{D1F8ADA6-DB27-4ECB-9546-62769E720F97}" name="Room name" totalsRowLabel="Total" dataDxfId="598" totalsRowDxfId="597"/>
    <tableColumn id="2" xr3:uid="{6FDC4756-CD9A-4A88-96F5-DE8D74A05BDE}" name="Room Number " dataDxfId="596" totalsRowDxfId="595"/>
    <tableColumn id="3" xr3:uid="{3259F61B-39C9-4D86-84C0-FC01907C8F87}" name="Area" dataDxfId="594" totalsRowDxfId="593"/>
    <tableColumn id="4" xr3:uid="{343A9411-36B6-4C01-AA0A-925B60817F46}" name="Room Found?" dataDxfId="592" totalsRowDxfId="591">
      <calculatedColumnFormula array="1">FindRoomInTables(Room_Data_QC[[#This Row],[Room name]],Room_Data_QC[[#This Row],[Room Number ]])</calculatedColumnFormula>
    </tableColumn>
    <tableColumn id="8" xr3:uid="{6A5AF223-E545-4FA4-BF6B-4EA47D28E1CB}" name="Area In Excel" totalsRowFunction="count" dataDxfId="590" totalsRowDxfId="589">
      <calculatedColumnFormula array="1">FindRoomArea(Room_Data_QC[[#This Row],[Room name]],Room_Data_QC[[#This Row],[Room Number ]])</calculatedColumnFormula>
    </tableColumn>
    <tableColumn id="5" xr3:uid="{58D7260E-14F3-4959-A255-33326561E7B0}" name="Is there a duplicate? " dataDxfId="588" totalsRowDxfId="587">
      <calculatedColumnFormula array="1">CheckRoomDuplicates(Room_Data_QC[[#This Row],[Room name]],Room_Data_QC[[#This Row],[Room Number ]])</calculatedColumnFormula>
    </tableColumn>
    <tableColumn id="7" xr3:uid="{7A3867EB-FBCB-428D-B5B7-3B5DD47DC169}" name="Difference in Area" dataDxfId="586" totalsRowDxfId="585">
      <calculatedColumnFormula>IFERROR(Room_Data_QC[[#This Row],[Area]]-Room_Data_QC[[#This Row],[Area In Excel]],"NOT FOUND")</calculatedColumnFormula>
    </tableColumn>
    <tableColumn id="9" xr3:uid="{048846BA-F9DA-4B02-B192-C8FB4E9BDC10}" name="Designer Notes" totalsRowFunction="count" dataDxfId="584" totalsRowDxfId="583"/>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245FA86-5A6E-4911-855E-6A30974D83E6}" name="AH1Table4a_Ashrae" displayName="AH1Table4a_Ashrae" ref="B4:AR6" totalsRowCount="1" headerRowDxfId="580" dataDxfId="578" totalsRowDxfId="576" headerRowBorderDxfId="579" tableBorderDxfId="577" totalsRowBorderDxfId="575">
  <autoFilter ref="B4:AR5" xr:uid="{524E3D6C-149E-4F0C-99B8-D02F54E8F335}"/>
  <sortState xmlns:xlrd2="http://schemas.microsoft.com/office/spreadsheetml/2017/richdata2" ref="B5:AQ5">
    <sortCondition ref="B4:B5"/>
  </sortState>
  <tableColumns count="43">
    <tableColumn id="2" xr3:uid="{05021EED-6D7F-4CF5-84E1-A21B17917347}" name="ZONE" dataDxfId="574" totalsRowDxfId="573"/>
    <tableColumn id="22" xr3:uid="{875BA412-A996-4434-BAFC-671F15A96E5F}" name="EXHAUST ZONE" dataDxfId="572" totalsRowDxfId="571"/>
    <tableColumn id="3" xr3:uid="{9C8BEE32-9395-4464-85CD-851D647DEDA7}" name="ROOM" dataDxfId="570" totalsRowDxfId="569"/>
    <tableColumn id="4" xr3:uid="{EAA4BF66-11E5-4E21-A7DF-1D94D49F49FB}" name="ROOM _x000a_NUMBER" dataDxfId="568" totalsRowDxfId="567"/>
    <tableColumn id="5" xr3:uid="{58C6E4B3-4B84-4637-AA16-286CFC8B6781}" name="AREA _x000a_(FT²)" totalsRowFunction="sum" dataDxfId="566" totalsRowDxfId="565"/>
    <tableColumn id="6" xr3:uid="{72E32889-877D-4153-9C6A-16770C4BDE5D}" name="HG_x000a_(FT)" dataDxfId="564" totalsRowDxfId="563"/>
    <tableColumn id="1" xr3:uid="{4412EDA7-506D-4D0E-8209-3B300E97DFE8}" name="Desired Air Balance Difference" dataDxfId="562" totalsRowDxfId="561"/>
    <tableColumn id="10" xr3:uid="{723F7C47-FFEA-40C2-9CE8-A0137D648030}" name="LOAD _x000a_(CFM)" dataDxfId="560" totalsRowDxfId="559"/>
    <tableColumn id="13" xr3:uid="{F1A582C5-F5C6-4CF2-96A2-5A1B05A816CA}" name="FUNCTION OR SPACE" dataDxfId="558" totalsRowDxfId="557"/>
    <tableColumn id="8" xr3:uid="{66EF76C0-C67B-4B88-91E0-27250EE661D5}" name="Fire Rated Corridor?" dataDxfId="556" totalsRowDxfId="555">
      <calculatedColumnFormula>IF(ISNUMBER(SEARCH("Corridor",AH1Table4a_Ashrae[[#This Row],[FUNCTION OR SPACE]])),"YES","NA")</calculatedColumnFormula>
    </tableColumn>
    <tableColumn id="14" xr3:uid="{7AFA75BD-425E-4DA4-8DD3-EB2CA9544B84}" name="PRESSURE RELATIONSHIP TO ADJACENT AREAS" dataDxfId="554" totalsRowDxfId="553">
      <calculatedColumnFormula>VLOOKUP($J5,'UMC Table 4-A'!$A$2:$E$132,2,FALSE)</calculatedColumnFormula>
    </tableColumn>
    <tableColumn id="15" xr3:uid="{FD61E673-37F0-4809-ABB8-092B45A92888}" name="MIN OUTDOOR ACH_x000a_(AC/HR)" dataDxfId="552" totalsRowDxfId="551">
      <calculatedColumnFormula>VLOOKUP($J5,'UMC Table 4-A'!$A$2:$E$132,3,FALSE)</calculatedColumnFormula>
    </tableColumn>
    <tableColumn id="16" xr3:uid="{2429BA4F-B989-4D60-BB57-F025CE34D18E}" name="MIN OUTDOOR ACH _x000a_(CFM)" totalsRowFunction="sum" dataDxfId="550" totalsRowDxfId="549">
      <calculatedColumnFormula>IF(AH1Table4a_Ashrae[[#This Row],[FUNCTION OR SPACE]]="NOT PER TABLE 4A","NA",IF(M5&lt;&gt;"NR",ROUNDUP((F5*G5*M5)/60,-1),0))</calculatedColumnFormula>
    </tableColumn>
    <tableColumn id="7" xr3:uid="{59F6D5C3-F996-40D0-8BBB-F29F78877AD0}" name="MIN TOTAL ACH (AC/HR)" dataDxfId="548" totalsRowDxfId="547">
      <calculatedColumnFormula>VLOOKUP($J5,'UMC Table 4-A'!$A$2:$E$132,4,FALSE)</calculatedColumnFormula>
    </tableColumn>
    <tableColumn id="11" xr3:uid="{79AD435C-46A1-43F1-92BA-3D7628A52AB0}" name="MIN TOTAL ACH _x000a_(CFM)" totalsRowFunction="sum" dataDxfId="546" totalsRowDxfId="545">
      <calculatedColumnFormula>IF(AH1Table4a_Ashrae[[#This Row],[FUNCTION OR SPACE]]="NOT PER TABLE 4A","NA",IF(O5&lt;&gt;"NR",ROUNDUP((F5*G5*O5)/60,-1),0))</calculatedColumnFormula>
    </tableColumn>
    <tableColumn id="17" xr3:uid="{CA0F6FBC-5358-4CE2-A4B8-1820330322E8}" name="100% EA_x000a_ (YES/NR)" dataDxfId="544" totalsRowDxfId="543">
      <calculatedColumnFormula>VLOOKUP($J5,'UMC Table 4-A'!$A$2:$E$132,5,FALSE)</calculatedColumnFormula>
    </tableColumn>
    <tableColumn id="9" xr3:uid="{D60067DC-8CC2-4DB2-BC28-41D00AB3FAF5}" name="MIN EA _x000a_(CFM)" totalsRowFunction="sum" dataDxfId="542" totalsRowDxfId="541">
      <calculatedColumnFormula>IF(Q5="Yes",P5,0)</calculatedColumnFormula>
    </tableColumn>
    <tableColumn id="36" xr3:uid="{02AA4039-8FA8-4764-94C1-B9F3036AE5B7}" name="Exhaust Category" dataDxfId="540" totalsRowDxfId="539"/>
    <tableColumn id="35" xr3:uid="{5F1FF51C-6E8B-41A7-923E-67AFD2A3BB67}" name="ASHRAE_x000a_EXHAUST UNIT" dataDxfId="538" totalsRowDxfId="537"/>
    <tableColumn id="31" xr3:uid="{FB939EFB-9635-47D9-918C-B5C61CBE6D6A}" name="OCCUPANCY CATEGORY" dataDxfId="536" totalsRowDxfId="535"/>
    <tableColumn id="32" xr3:uid="{9D7E3276-62D3-49CA-A1EC-DCBF8C6447DB}" name="RP_x000a_(CFM/PER PERSON)" dataDxfId="534" totalsRowDxfId="533">
      <calculatedColumnFormula>IF(AH1Table4a_Ashrae[[#This Row],[FUNCTION OR SPACE]]="NOT PER TABLE 4A",VLOOKUP(AH1Table4a_Ashrae[[#This Row],[OCCUPANCY CATEGORY]],Ashrae90.1Vent[#All],2,FALSE),"NA")</calculatedColumnFormula>
    </tableColumn>
    <tableColumn id="33" xr3:uid="{A96A2E37-A2F9-42A2-904F-75ADCC5E24EE}" name="RA_x000a_(CFM/FT²)" dataDxfId="532" totalsRowDxfId="531">
      <calculatedColumnFormula>IF(AH1Table4a_Ashrae[[#This Row],[FUNCTION OR SPACE]]="NOT PER TABLE 4A", VLOOKUP(AH1Table4a_Ashrae[[#This Row],[OCCUPANCY CATEGORY]],Ashrae90.1Vent[#All],3,FALSE),"NA")</calculatedColumnFormula>
    </tableColumn>
    <tableColumn id="38" xr3:uid="{1774B622-2023-4A97-A96A-CD6C4E98EB13}" name="OCCUPANT DENSITY_x000a_(#/1000 FT²)" dataDxfId="530" totalsRowDxfId="529">
      <calculatedColumnFormula>IF(AH1Table4a_Ashrae[[#This Row],[FUNCTION OR SPACE]]="NOT PER TABLE 4A",VLOOKUP(AH1Table4a_Ashrae[[#This Row],[OCCUPANCY CATEGORY]],Ashrae90.1Vent[#All],4,FALSE),"NA")</calculatedColumnFormula>
    </tableColumn>
    <tableColumn id="39" xr3:uid="{2F9A62FE-001B-4E39-B9AE-76B38D3CCC31}" name="Air Class" dataDxfId="528" totalsRowDxfId="527">
      <calculatedColumnFormula>IF(AH1Table4a_Ashrae[[#This Row],[FUNCTION OR SPACE]]="NOT PER TABLE 4A",VLOOKUP(AH1Table4a_Ashrae[[#This Row],[OCCUPANCY CATEGORY]],Ashrae90.1Vent[#All],5,FALSE),"NA")</calculatedColumnFormula>
    </tableColumn>
    <tableColumn id="40" xr3:uid="{97C2DD51-9296-4BA6-9D9F-3CE3F402ED1B}" name="Actual Number of  Occupants (Ps)" totalsRowFunction="sum" dataDxfId="526" totalsRowDxfId="525">
      <calculatedColumnFormula>IF(AH1Table4a_Ashrae[[#This Row],[FUNCTION OR SPACE]]="NOT PER TABLE 4A",AH1Table4a_Ashrae[[#This Row],[Occupants (Pz)]],"NA")</calculatedColumnFormula>
    </tableColumn>
    <tableColumn id="41" xr3:uid="{319EBA81-8F62-4A95-B838-AB69083829FB}" name="Occupants (Pz)" totalsRowFunction="sum" dataDxfId="524" totalsRowDxfId="523">
      <calculatedColumnFormula>IF(AH1Table4a_Ashrae[[#This Row],[FUNCTION OR SPACE]]="NOT PER TABLE 4A",CEILING((X5/1000)*F5,1),"NA")</calculatedColumnFormula>
    </tableColumn>
    <tableColumn id="34" xr3:uid="{0DC482DB-4C5F-4241-A6AD-01E5DA62F078}" name="DIVERSITY (D)" dataDxfId="522" totalsRowDxfId="521">
      <calculatedColumnFormula>IF(AH1Table4a_Ashrae[[#This Row],[FUNCTION OR SPACE]]="NOT PER TABLE 4A",IF((AH1Table4a_Ashrae[[#Totals],[Actual Number of  Occupants (Ps)]]/AH1Table4a_Ashrae[[#Totals],[Occupants (Pz)]])&gt;1,1,AH1Table4a_Ashrae[[#Totals],[Actual Number of  Occupants (Ps)]]/AH1Table4a_Ashrae[[#Totals],[Occupants (Pz)]]),"NA")</calculatedColumnFormula>
    </tableColumn>
    <tableColumn id="29" xr3:uid="{1C188B28-9882-45EA-9E7C-D51CD37D9D75}" name="Uncorrected OA (Vou)" dataDxfId="520" totalsRowDxfId="519">
      <calculatedColumnFormula>IF(AH1Table4a_Ashrae[[#This Row],[FUNCTION OR SPACE]]="NOT PER TABLE 4A",(AH1Table4a_Ashrae[[#This Row],[DIVERSITY (D)]]*AH1Table4a_Ashrae[[#This Row],[RP
(CFM/PER PERSON)]]*AH1Table4a_Ashrae[[#This Row],[Occupants (Pz)]])+(AH1Table4a_Ashrae[[#This Row],[RA
(CFM/FT²)]]*AH1Table4a_Ashrae[[#This Row],[AREA 
(FT²)]]),"NA")</calculatedColumnFormula>
    </tableColumn>
    <tableColumn id="30" xr3:uid="{582F71E0-C807-465C-B226-90667CB0979D}" name="System Efficiency (Ev)" dataDxfId="518" totalsRowDxfId="517">
      <calculatedColumnFormula>IF(AH1Table4a_Ashrae[[#This Row],[FUNCTION OR SPACE]]="NOT PER TABLE 4A",IF(AH1Table4a_Ashrae[[#This Row],[DIVERSITY (D)]]&lt;0.6,(0.88*AH1Table4a_Ashrae[[#This Row],[DIVERSITY (D)]]+0.22),0.75),"NA")</calculatedColumnFormula>
    </tableColumn>
    <tableColumn id="37" xr3:uid="{F3E0A5D0-4530-45CB-A537-E2FB256E1B5D}" name="OUTSIDE AIRFLOW (CFM) (Vot)" dataDxfId="516" totalsRowDxfId="515">
      <calculatedColumnFormula>IF(AH1Table4a_Ashrae[[#This Row],[FUNCTION OR SPACE]]="NOT PER TABLE 4A",AH1Table4a_Ashrae[[#This Row],[Uncorrected OA (Vou)]]/AH1Table4a_Ashrae[[#This Row],[System Efficiency (Ev)]],"NA")</calculatedColumnFormula>
    </tableColumn>
    <tableColumn id="45" xr3:uid="{30F9FC78-2ADE-4FBA-8993-5CE6280738A1}" name="EXHAUST RECOVERY" dataDxfId="514" totalsRowDxfId="513"/>
    <tableColumn id="43" xr3:uid="{84EB4BF8-FB80-4046-A970-CB96902DC9CF}" name="OS" dataDxfId="512" totalsRowDxfId="511">
      <calculatedColumnFormula>VLOOKUP(AH1Table4a_Ashrae[[#This Row],[OCCUPANCY CATEGORY]],Ashrae90.1Vent[#All],6,FALSE)</calculatedColumnFormula>
    </tableColumn>
    <tableColumn id="49" xr3:uid="{192C0E32-231A-4F73-8289-6BF7A443D98F}" name="EA RATE_x000a_(CFM/UNIT)" dataDxfId="510" totalsRowDxfId="509">
      <calculatedColumnFormula>IF(AH1Table4a_Ashrae[[#This Row],[Exhaust Category]]="NOT APPLICABLE","NA",VLOOKUP(AH1Table4a_Ashrae[[#This Row],[Exhaust Category]],ASHRAE_EA_Table[#All],2,FALSE))</calculatedColumnFormula>
    </tableColumn>
    <tableColumn id="48" xr3:uid="{8DDA16C6-0BB5-40A4-9111-73755D2DDF0B}" name="EA RATE_x000a_(CFM/FT²)" dataDxfId="508" totalsRowDxfId="507">
      <calculatedColumnFormula>IF(AH1Table4a_Ashrae[[#This Row],[Exhaust Category]]="NOT APPLICABLE","NA",VLOOKUP(AH1Table4a_Ashrae[[#This Row],[Exhaust Category]],ASHRAE_EA_Table[#All],3,FALSE))</calculatedColumnFormula>
    </tableColumn>
    <tableColumn id="42" xr3:uid="{4560347E-2597-49A5-8223-EE889C7E07F5}" name="MIN ASHRAE EA_x000a_(CFM)" dataDxfId="506" totalsRowDxfId="505">
      <calculatedColumnFormula>IFERROR(IF(AH1Table4a_Ashrae[[#This Row],[EA RATE
(CFM/UNIT)]] = 0,AH1Table4a_Ashrae[[#This Row],[EA RATE
(CFM/FT²)]]*AH1Table4a_Ashrae[[#This Row],[AREA 
(FT²)]],AH1Table4a_Ashrae[[#This Row],[EA RATE
(CFM/UNIT)]]*AH1Table4a_Ashrae[[#This Row],[ASHRAE
EXHAUST UNIT]]),0)</calculatedColumnFormula>
    </tableColumn>
    <tableColumn id="18" xr3:uid="{071D9C53-575A-4A9F-B0D7-A481C2F7E598}" name="CALCULATED SA _x000a_(CFM)" totalsRowFunction="sum" dataDxfId="504" totalsRowDxfId="503">
      <calculatedColumnFormula array="1">supplyair_Comb(AH1Table4a_Ashrae[[#This Row],[LOAD 
(CFM)]],AH1Table4a_Ashrae[[#This Row],[MIN TOTAL ACH 
(CFM)]],AH1Table4a_Ashrae[[#This Row],[1 or 0.5 CFM/SF]],AH1Table4a_Ashrae[[#This Row],[Desired Air Balance Difference]],AH1Table4a_Ashrae[[#This Row],[100% EA
 (YES/NR)]],AH1Table4a_Ashrae[[#This Row],[MIN EA 
(CFM)]],AH1Table4a_Ashrae[[#This Row],[FUNCTION OR SPACE]],AH1Table4a_Ashrae[[#This Row],[Exhaust Category]],AH1Table4a_Ashrae[[#This Row],[MIN ASHRAE EA
(CFM)]],AH1Table4a_Ashrae[[#This Row],[DESIGN OA (CFM)]])</calculatedColumnFormula>
    </tableColumn>
    <tableColumn id="50" xr3:uid="{71DD6DA0-B090-486E-ACB5-C1E3F289064F}" name="DESIGN OA (CFM)" totalsRowFunction="sum" dataDxfId="502" totalsRowDxfId="501">
      <calculatedColumnFormula>MROUND(IF(AH1Table4a_Ashrae[[#This Row],[FUNCTION OR SPACE]]="NOT PER TABLE 4A",AH1Table4a_Ashrae[[#This Row],[OUTSIDE AIRFLOW (CFM) (Vot)]],AH1Table4a_Ashrae[[#This Row],[MIN OUTDOOR ACH 
(CFM)]]),5)</calculatedColumnFormula>
    </tableColumn>
    <tableColumn id="19" xr3:uid="{E05BB29B-AE45-4BDC-9E02-45FFCD405905}" name="DESIGN SA (CFM)" totalsRowFunction="sum" dataDxfId="500" totalsRowDxfId="499">
      <calculatedColumnFormula>AH1Table4a_Ashrae[[#This Row],[CALCULATED SA 
(CFM)]]</calculatedColumnFormula>
    </tableColumn>
    <tableColumn id="20" xr3:uid="{87766259-052C-4059-8B00-B166AF301C28}" name="DESIGN RA (CFM)" totalsRowFunction="sum" dataDxfId="498" totalsRowDxfId="497">
      <calculatedColumnFormula array="1">returnair_comb(AH1Table4a_Ashrae[[#This Row],[DESIGN SA (CFM)]],AH1Table4a_Ashrae[[#This Row],[Desired Air Balance Difference]],AH1Table4a_Ashrae[[#This Row],[100% EA
 (YES/NR)]],AH1Table4a_Ashrae[[#This Row],[FUNCTION OR SPACE]],AH1Table4a_Ashrae[[#This Row],[Exhaust Category]],AH1Table4a_Ashrae[[#This Row],[MIN ASHRAE EA
(CFM)]])</calculatedColumnFormula>
    </tableColumn>
    <tableColumn id="21" xr3:uid="{1C69BBB2-C08E-4E88-84CE-E80FA6DA5787}" name="DESIGN EA (CFM)" totalsRowFunction="sum" dataDxfId="496" totalsRowDxfId="495">
      <calculatedColumnFormula array="1">Exhaustair_comb(AH1Table4a_Ashrae[[#This Row],[DESIGN SA (CFM)]],AH1Table4a_Ashrae[[#This Row],[100% EA
 (YES/NR)]],AH1Table4a_Ashrae[[#This Row],[MIN EA 
(CFM)]],AH1Table4a_Ashrae[[#This Row],[Desired Air Balance Difference]],AH1Table4a_Ashrae[[#This Row],[FUNCTION OR SPACE]],AH1Table4a_Ashrae[[#This Row],[Exhaust Category]],AH1Table4a_Ashrae[[#This Row],[MIN ASHRAE EA
(CFM)]])</calculatedColumnFormula>
    </tableColumn>
    <tableColumn id="24" xr3:uid="{B6AFFC9C-1EC8-43A8-A524-7A28009D8429}" name="CFM/SF" dataDxfId="494" totalsRowDxfId="493">
      <calculatedColumnFormula>IFERROR(AK5/F5,"-")</calculatedColumnFormula>
    </tableColumn>
    <tableColumn id="25" xr3:uid="{731E0A0B-C447-487B-8249-B9C76DD14A27}" name="OSA PERCENT" dataDxfId="492" totalsRowDxfId="491">
      <calculatedColumnFormula>IF(AH1Table4a_Ashrae[[#This Row],[DESIGN SA (CFM)]]=0,0,(AH1Table4a_Ashrae[[#This Row],[DESIGN OA (CFM)]]/AH1Table4a_Ashrae[[#This Row],[DESIGN SA (CFM)]])*100)</calculatedColumnFormula>
    </tableColumn>
    <tableColumn id="12" xr3:uid="{B8ACC120-DF78-402B-AF31-C0AC7DE4F545}" name="1 or 0.5 CFM/SF" dataDxfId="490" totalsRowDxfId="489">
      <calculatedColumnFormula>IF(OR((J5="PATIENT CORRIDOR"),(J5="TOILET")),(F5*0.5),F5)</calculatedColumnFormula>
    </tableColumn>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6D9D33A-2DE5-364A-B78C-5DD7A614D29B}" name="AHU_Schedules" displayName="AHU_Schedules" ref="A11:BF14" totalsRowCount="1" headerRowDxfId="488" dataDxfId="486" headerRowBorderDxfId="487" tableBorderDxfId="485">
  <autoFilter ref="A11:BF13" xr:uid="{E6D9D33A-2DE5-364A-B78C-5DD7A614D29B}"/>
  <tableColumns count="58">
    <tableColumn id="1" xr3:uid="{75084425-A44B-8E45-87AE-08AECD33E09D}" name="TAG" totalsRowLabel="Total" dataDxfId="484" totalsRowDxfId="483"/>
    <tableColumn id="35" xr3:uid="{E91B7601-520B-4B95-B907-58BFBF6D50CF}" name="MIN CFM" dataDxfId="482" totalsRowDxfId="481"/>
    <tableColumn id="2" xr3:uid="{C741F4EF-D022-3147-B8E2-8A68ED8EF0CC}" name="MAX CFM" totalsRowFunction="sum" dataDxfId="480" totalsRowDxfId="479"/>
    <tableColumn id="36" xr3:uid="{05176666-0C2E-48A6-8419-24A0AE993CF5}" name="MIN RET CFM" dataDxfId="478" totalsRowDxfId="477"/>
    <tableColumn id="4" xr3:uid="{8F33E354-148B-E049-A9AB-2FEBF1D2ABCF}" name="MAX RET CFM" dataDxfId="476" totalsRowDxfId="475"/>
    <tableColumn id="6" xr3:uid="{44289BD7-7B7A-5040-A9C3-A81E708605BA}" name="(˚F db)" dataDxfId="474" totalsRowDxfId="473"/>
    <tableColumn id="7" xr3:uid="{A118C93B-9473-8340-A213-7536CC01FA69}" name="(˚F wb)" dataDxfId="472" totalsRowDxfId="471"/>
    <tableColumn id="8" xr3:uid="{BA4E1C0D-A98F-C94F-B5DE-2C36AC9D0BA3}" name="(CFM)3" dataDxfId="470" totalsRowDxfId="469"/>
    <tableColumn id="9" xr3:uid="{8E2A683D-7B4C-954E-A75A-56B4A8A15F0B}" name="(˚F db)4" dataDxfId="468" totalsRowDxfId="467">
      <calculatedColumnFormula>INPUT_OUTPUTS!$C$8</calculatedColumnFormula>
    </tableColumn>
    <tableColumn id="10" xr3:uid="{D83D5AD6-51F5-5E4B-BE3C-C238ECC50CFF}" name="(˚F wb)5" dataDxfId="466" totalsRowDxfId="465">
      <calculatedColumnFormula>INPUT_OUTPUTS!$C$9</calculatedColumnFormula>
    </tableColumn>
    <tableColumn id="11" xr3:uid="{58DDBF84-EFFA-734F-B069-FD929AE8505B}" name="(CFM)6" dataDxfId="464" totalsRowDxfId="463">
      <calculatedColumnFormula>AHU_Schedules[[#This Row],[(CFM)3]]</calculatedColumnFormula>
    </tableColumn>
    <tableColumn id="12" xr3:uid="{7D7925B1-33E7-A84F-AAEC-67A01BBE986C}" name="(˚F db)7" dataDxfId="462" totalsRowDxfId="461">
      <calculatedColumnFormula>INPUT_OUTPUTS!$C$10</calculatedColumnFormula>
    </tableColumn>
    <tableColumn id="13" xr3:uid="{9E21E0BF-E9C5-C54C-9B8C-005C0935E109}" name="(˚F wb)8" dataDxfId="460" totalsRowDxfId="459">
      <calculatedColumnFormula>INPUT_OUTPUTS!$C$11</calculatedColumnFormula>
    </tableColumn>
    <tableColumn id="14" xr3:uid="{AC23D981-3B01-5147-97B6-3252A7FC953B}" name="(˚F db)9" dataDxfId="458" totalsRowDxfId="457">
      <calculatedColumnFormula>INPUT_OUTPUTS!$F$8</calculatedColumnFormula>
    </tableColumn>
    <tableColumn id="15" xr3:uid="{DB54E7DD-3A47-6447-A89B-94C85E52BE7D}" name="(CFM)10" dataDxfId="456" totalsRowDxfId="455">
      <calculatedColumnFormula>E12+H12-C12</calculatedColumnFormula>
    </tableColumn>
    <tableColumn id="16" xr3:uid="{4FEC2D7C-9758-744F-A9BF-FBA46547E062}" name="(˚F db)11" dataDxfId="454" totalsRowDxfId="453">
      <calculatedColumnFormula array="1">MixedAirTemp(AHU_Schedules[[#This Row],[(CFM)3]],AHU_Schedules[[#This Row],[(˚F db)4]],(AHU_Schedules[[#This Row],[MAX RET CFM]]-AHU_Schedules[[#This Row],[(CFM)10]]),AHU_Schedules[[#This Row],[(˚F db)]])</calculatedColumnFormula>
    </tableColumn>
    <tableColumn id="17" xr3:uid="{B005BDD5-39CF-2B47-842F-C982BA9FC7E1}" name="(˚F wb)12" dataDxfId="452" totalsRowDxfId="451">
      <calculatedColumnFormula array="1">MixedAirTemp(AHU_Schedules[[#This Row],[(CFM)3]],AHU_Schedules[[#This Row],[(˚F wb)5]],(AHU_Schedules[[#This Row],[MAX RET CFM]]-AHU_Schedules[[#This Row],[(CFM)10]]),AHU_Schedules[[#This Row],[(˚F wb)]])</calculatedColumnFormula>
    </tableColumn>
    <tableColumn id="18" xr3:uid="{5AC4E564-0F72-0E49-B041-B5DE3FD4DD18}" name="(h)" dataDxfId="450" totalsRowDxfId="449">
      <calculatedColumnFormula array="1">GetMoistAirEnthalpy(AHU_Schedules[[#This Row],[(˚F db)11]],(GetHumRatioFromTWetBulb(AHU_Schedules[[#This Row],[(˚F db)11]],AHU_Schedules[[#This Row],[(˚F wb)12]],GetStandardAtmPressure(INPUT_OUTPUTS!$G$6))))</calculatedColumnFormula>
    </tableColumn>
    <tableColumn id="19" xr3:uid="{1CF6B834-F9E4-7943-9908-D52F6A59E930}" name="(˚F db)13" dataDxfId="448" totalsRowDxfId="447"/>
    <tableColumn id="20" xr3:uid="{069031AB-30B0-304F-BA24-44B4C6E6101C}" name="(˚F wb)14" dataDxfId="446" totalsRowDxfId="445"/>
    <tableColumn id="21" xr3:uid="{1EA24A2B-BE77-6945-9098-6C4501A9902F}" name="(h)15" dataDxfId="444" totalsRowDxfId="443">
      <calculatedColumnFormula array="1">GetMoistAirEnthalpy(AHU_Schedules[[#This Row],[(˚F db)13]],(GetHumRatioFromTWetBulb(AHU_Schedules[[#This Row],[(˚F db)13]],AHU_Schedules[[#This Row],[(˚F wb)14]],GetStandardAtmPressure(INPUT_OUTPUTS!$G$6))))</calculatedColumnFormula>
    </tableColumn>
    <tableColumn id="22" xr3:uid="{05796239-DA0D-E349-ADE3-8A1B87E96861}" name="(Btu/hr)" dataDxfId="442" totalsRowDxfId="441">
      <calculatedColumnFormula>C12*INPUT_OUTPUTS!$K$12*(P12-S12)</calculatedColumnFormula>
    </tableColumn>
    <tableColumn id="23" xr3:uid="{02C21CA2-732A-8C4C-93ED-640017544BD3}" name="(Btu/hr)16" dataDxfId="440" totalsRowDxfId="439">
      <calculatedColumnFormula>INPUT_OUTPUTS!$K$13*C12*(R12-U12)</calculatedColumnFormula>
    </tableColumn>
    <tableColumn id="24" xr3:uid="{80183150-6317-2C46-B9FB-5600693E1D79}" name="(Tons)" dataDxfId="438" totalsRowDxfId="437">
      <calculatedColumnFormula>IF(W12&lt;V12,"INVALID POINT",W12/12000)</calculatedColumnFormula>
    </tableColumn>
    <tableColumn id="25" xr3:uid="{8AF1DEDF-1446-A54C-A718-1F4A80DCED1F}" name="(˚F db)17" dataDxfId="436" totalsRowDxfId="435">
      <calculatedColumnFormula>INPUT_OUTPUTS!$C$14</calculatedColumnFormula>
    </tableColumn>
    <tableColumn id="26" xr3:uid="{30713AF6-10A7-A640-9A81-7C9C656F28C6}" name="(˚F db)18" dataDxfId="434" totalsRowDxfId="433">
      <calculatedColumnFormula>INPUT_OUTPUTS!$C$15</calculatedColumnFormula>
    </tableColumn>
    <tableColumn id="27" xr3:uid="{07E9B9A3-68BD-0040-B64A-445B4F7DB78B}" name="GPM" totalsRowFunction="sum" dataDxfId="432" totalsRowDxfId="431">
      <calculatedColumnFormula>W12/(500*(Z12-Y12))</calculatedColumnFormula>
    </tableColumn>
    <tableColumn id="28" xr3:uid="{63A1C04A-F0C1-344B-9C91-CDCBB09CC808}" name="(˚F db)19" dataDxfId="430" totalsRowDxfId="429">
      <calculatedColumnFormula>F12*((E12-O12)/C12) + L12*(H12/C12)</calculatedColumnFormula>
    </tableColumn>
    <tableColumn id="29" xr3:uid="{6B8C516D-DE70-BF40-8E5C-0B23062187E5}" name="(˚F wb)20" dataDxfId="428" totalsRowDxfId="427">
      <calculatedColumnFormula>TRUNC(G12*((E12-O12)/C12) + M12*(H12/C12),1)</calculatedColumnFormula>
    </tableColumn>
    <tableColumn id="30" xr3:uid="{045EE11E-9647-ED4C-9652-8752BBE74982}" name="(h)21" dataDxfId="426" totalsRowDxfId="425">
      <calculatedColumnFormula array="1">GetMoistAirEnthalpy(AHU_Schedules[[#This Row],[(˚F db)19]],(GetHumRatioFromTWetBulb(AHU_Schedules[[#This Row],[(˚F db)19]],AHU_Schedules[[#This Row],[(˚F wb)20]],GetStandardAtmPressure(INPUT_OUTPUTS!$G$6))))</calculatedColumnFormula>
    </tableColumn>
    <tableColumn id="31" xr3:uid="{1C877888-78C7-FA4C-A946-1B9EDB031094}" name="(˚F db)22" dataDxfId="424" totalsRowDxfId="423">
      <calculatedColumnFormula>AHU_Schedules[[#This Row],[(˚F db)13]]</calculatedColumnFormula>
    </tableColumn>
    <tableColumn id="32" xr3:uid="{5E7C32E8-28E9-554C-93A3-4ED479273F5C}" name="(˚F wb)23" dataDxfId="422" totalsRowDxfId="421">
      <calculatedColumnFormula>AHU_Schedules[[#This Row],[(˚F wb)14]]</calculatedColumnFormula>
    </tableColumn>
    <tableColumn id="33" xr3:uid="{7EB81F19-A30A-5844-B465-95995C2169F1}" name="(h)24" dataDxfId="420" totalsRowDxfId="419">
      <calculatedColumnFormula array="1">GetMoistAirEnthalpy(AHU_Schedules[[#This Row],[(˚F db)22]],(GetHumRatioFromTWetBulb(AHU_Schedules[[#This Row],[(˚F db)22]],AHU_Schedules[[#This Row],[(˚F wb)23]],GetStandardAtmPressure(INPUT_OUTPUTS!$G$6))))</calculatedColumnFormula>
    </tableColumn>
    <tableColumn id="37" xr3:uid="{B86C10F8-CA05-8945-8F0F-F9E339D5FA04}" name="(Btu/hr)28" dataDxfId="418" totalsRowDxfId="417">
      <calculatedColumnFormula>C12*INPUT_OUTPUTS!$K$12*(AB12-AE12)</calculatedColumnFormula>
    </tableColumn>
    <tableColumn id="38" xr3:uid="{3C9101C2-66E5-5844-8571-55FD8B0FA8E4}" name="(Btu/hr)29" dataDxfId="416" totalsRowDxfId="415">
      <calculatedColumnFormula>INPUT_OUTPUTS!$K$13*C12*(AD12-AG12)</calculatedColumnFormula>
    </tableColumn>
    <tableColumn id="39" xr3:uid="{611DF507-C49C-8E40-9B22-204394B4D484}" name="(Tons)30" dataDxfId="414" totalsRowDxfId="413">
      <calculatedColumnFormula>IF(AI12&lt;AH12,"INVALID POINT",AI12/12000)</calculatedColumnFormula>
    </tableColumn>
    <tableColumn id="40" xr3:uid="{8D69DAB9-C665-1C40-8BEE-2F67013BDA9E}" name="(˚F db)31" dataDxfId="412" totalsRowDxfId="411">
      <calculatedColumnFormula>INPUT_OUTPUTS!$C$14</calculatedColumnFormula>
    </tableColumn>
    <tableColumn id="41" xr3:uid="{2C7A8B9E-09E2-C245-8AD4-9B511603B988}" name="(˚F db)32" dataDxfId="410" totalsRowDxfId="409">
      <calculatedColumnFormula>INPUT_OUTPUTS!$C$15</calculatedColumnFormula>
    </tableColumn>
    <tableColumn id="42" xr3:uid="{97B72D8E-BA89-4E4A-B5D1-F02C61433D68}" name="GPM33" totalsRowFunction="sum" dataDxfId="408" totalsRowDxfId="407">
      <calculatedColumnFormula>AI12/(500*(AL12-AK12))</calculatedColumnFormula>
    </tableColumn>
    <tableColumn id="43" xr3:uid="{EE7A438B-ECC2-DF4B-9129-EA55728EFC2E}" name="(Tons)34" totalsRowFunction="sum" dataDxfId="406" totalsRowDxfId="405">
      <calculatedColumnFormula>MAX(AJ12,X12)</calculatedColumnFormula>
    </tableColumn>
    <tableColumn id="44" xr3:uid="{B68CC7E9-570D-A84E-8670-D3C2DEA54479}" name="(CFM)35" dataDxfId="404" totalsRowDxfId="403">
      <calculatedColumnFormula>C12/AJ12</calculatedColumnFormula>
    </tableColumn>
    <tableColumn id="59" xr3:uid="{2F2BA6E3-EE55-BA45-94DB-4A9361068B22}" name="GPM MAX" totalsRowFunction="sum" dataDxfId="402" totalsRowDxfId="401">
      <calculatedColumnFormula>MAX(AHU_Schedules[[#This Row],[GPM33]],AHU_Schedules[[#This Row],[GPM]])</calculatedColumnFormula>
    </tableColumn>
    <tableColumn id="45" xr3:uid="{033D6B36-8B19-EB4B-A1E7-E7585C21489B}" name="(CFM)36" dataDxfId="400" totalsRowDxfId="399">
      <calculatedColumnFormula>IF(AHU_Schedules[[#This Row],[(˚F db)9]]&lt;35,C12,"NOT NEEDED")</calculatedColumnFormula>
    </tableColumn>
    <tableColumn id="46" xr3:uid="{940C5796-789D-5B4A-9FCD-445173CBE38B}" name="(˚F db)37" dataDxfId="398" totalsRowDxfId="397">
      <calculatedColumnFormula>IF(AHU_Schedules[[#This Row],[(˚F db)9]]&lt;35,AHU_Schedules[[#This Row],[(˚F db)9]],"NOT NEEDED")</calculatedColumnFormula>
    </tableColumn>
    <tableColumn id="47" xr3:uid="{33252E21-E95C-E84B-AA5C-160823174238}" name="(˚F db)38" dataDxfId="396" totalsRowDxfId="395">
      <calculatedColumnFormula>IF(AHU_Schedules[[#This Row],[(˚F db)9]]&lt;35,38,"NOT NEEDED")</calculatedColumnFormula>
    </tableColumn>
    <tableColumn id="48" xr3:uid="{F5FF0CC7-9CD6-DC4B-9AC8-6CF9532FE75F}" name="(MBH)" totalsRowFunction="sum" dataDxfId="394" totalsRowDxfId="393">
      <calculatedColumnFormula>IF(AHU_Schedules[[#This Row],[(˚F db)9]]&lt;35,AQ12*INPUT_OUTPUTS!$K$12*(AS12-AR12)/1000,"NOT NEEDED")</calculatedColumnFormula>
    </tableColumn>
    <tableColumn id="49" xr3:uid="{41191CD7-30B2-EE4D-850D-B2169746F6D6}" name="(˚F db)39" dataDxfId="392" totalsRowDxfId="391">
      <calculatedColumnFormula>IF(AHU_Schedules[[#This Row],[(˚F db)9]]&lt;35,INPUT_OUTPUTS!$C$16,"NOT NEEDED")</calculatedColumnFormula>
    </tableColumn>
    <tableColumn id="50" xr3:uid="{4D3CE10E-9198-0E44-849F-6C7B4A36B8CE}" name="(˚F db)40" dataDxfId="390" totalsRowDxfId="389">
      <calculatedColumnFormula>IF(AHU_Schedules[[#This Row],[(˚F db)9]]&lt;35,INPUT_OUTPUTS!$C$17,"NOT NEEDED")</calculatedColumnFormula>
    </tableColumn>
    <tableColumn id="51" xr3:uid="{01E8F924-565C-4D42-9E39-E87365245FFA}" name="GPM41" totalsRowFunction="sum" dataDxfId="388" totalsRowDxfId="387">
      <calculatedColumnFormula>IF(AHU_Schedules[[#This Row],[(˚F db)9]]&lt;35,(AT12*1000)/(500*(AU12-AV12)),"NOT NEEDED")</calculatedColumnFormula>
    </tableColumn>
    <tableColumn id="34" xr3:uid="{7FA025E3-2A8E-4918-AE49-513BEFF26646}" name="CFM" dataDxfId="386" totalsRowDxfId="385"/>
    <tableColumn id="54" xr3:uid="{D0D7EAE6-3EA2-E244-8B8D-01899554629D}" name="(˚F db)43" dataDxfId="384" totalsRowDxfId="383">
      <calculatedColumnFormula>(AHU_Schedules[[#This Row],[(˚F db)9]]*AHU_Schedules[[#This Row],[(CFM)3]] + AHU_Schedules[[#This Row],[(˚F db)]]*(AHU_Schedules[[#This Row],[CFM]]-AHU_Schedules[[#This Row],[(CFM)3]]))/AHU_Schedules[[#This Row],[CFM]]</calculatedColumnFormula>
    </tableColumn>
    <tableColumn id="56" xr3:uid="{0D1DB506-119B-7043-BE7D-652B0413152C}" name="(˚F db)45" dataDxfId="382" totalsRowDxfId="381">
      <calculatedColumnFormula>IF(AHU_Schedules[[#This Row],[(˚F db)43]]&lt;AHU_Schedules[[#This Row],[(˚F db)13]],AHU_Schedules[[#This Row],[(˚F db)13]],"NOT NEEDED")</calculatedColumnFormula>
    </tableColumn>
    <tableColumn id="57" xr3:uid="{C012C8FF-93AB-B94F-BC98-7474F441DD8E}" name="(mbh)46" totalsRowFunction="sum" dataDxfId="380" totalsRowDxfId="379">
      <calculatedColumnFormula>IF(AHU_Schedules[[#This Row],[(˚F db)43]]&lt;AHU_Schedules[[#This Row],[(˚F db)13]],(AHU_Schedules[[#This Row],[CFM]]*INPUT_OUTPUTS!$K$12*(AHU_Schedules[[#This Row],[(˚F db)45]]-AHU_Schedules[[#This Row],[(˚F db)43]]))/1000,"NOT NEEDED")</calculatedColumnFormula>
    </tableColumn>
    <tableColumn id="3" xr3:uid="{9514A6A6-2985-447E-8AB0-FAE06204FA9E}" name="(˚F db)392" dataDxfId="378" totalsRowDxfId="377">
      <calculatedColumnFormula>IF(AHU_Schedules[[#This Row],[(˚F db)43]]&lt;AHU_Schedules[[#This Row],[(˚F db)13]],INPUT_OUTPUTS!$C$16,"NOT NEEDED")</calculatedColumnFormula>
    </tableColumn>
    <tableColumn id="5" xr3:uid="{61B2ED4E-DEF3-42F9-ABE1-2D1324A74A29}" name="(˚F db)403" dataDxfId="376" totalsRowDxfId="375">
      <calculatedColumnFormula>IF(AHU_Schedules[[#This Row],[(˚F db)43]]&lt;AHU_Schedules[[#This Row],[(˚F db)13]],INPUT_OUTPUTS!$C$17,"NOT NEEDED")</calculatedColumnFormula>
    </tableColumn>
    <tableColumn id="60" xr3:uid="{3575FFB4-394C-DC4E-9487-884A377EB86A}" name="(˚F db)46" totalsRowFunction="sum" dataDxfId="374" totalsRowDxfId="373">
      <calculatedColumnFormula>IF(AHU_Schedules[[#This Row],[(˚F db)43]]&lt;AHU_Schedules[[#This Row],[(˚F db)13]],(AHU_Schedules[[#This Row],[(mbh)46]]*1000)/(500*(AHU_Schedules[[#This Row],[(˚F db)392]]-AHU_Schedules[[#This Row],[(˚F db)403]])),"NOT NEEDED")</calculatedColumnFormula>
    </tableColumn>
    <tableColumn id="52" xr3:uid="{D49AD884-40DD-422D-A684-3EBB09F37706}" name="Supply fan" dataDxfId="372" totalsRowDxfId="371"/>
    <tableColumn id="53" xr3:uid="{051B4404-71ED-4B7C-8DCD-1F2B724DEF89}" name="retrun Fan" dataDxfId="370" totalsRowDxfId="369"/>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71374814-CCC9-43E5-A9C4-6DC8DF5E36D3}" name="VA_Room_Data_Sheets" displayName="VA_Room_Data_Sheets" ref="A1:X742" totalsRowShown="0" headerRowDxfId="368" dataDxfId="366" headerRowBorderDxfId="367" tableBorderDxfId="365">
  <autoFilter ref="A1:X742" xr:uid="{EFCB723F-ED15-4E18-B52F-6AB797AE6248}"/>
  <tableColumns count="24">
    <tableColumn id="1" xr3:uid="{067B8292-4803-4F0C-A042-D773012377E8}" name="CATEGORY" dataDxfId="364"/>
    <tableColumn id="2" xr3:uid="{A499A7A9-6C7C-4164-BBB4-9EC5158B9F86}" name="ROOM CODE" dataDxfId="363"/>
    <tableColumn id="3" xr3:uid="{C54B12CF-300B-47B8-84AD-03A3E9E032FF}" name="ROOM NAME" dataDxfId="362"/>
    <tableColumn id="4" xr3:uid="{E6D7EBB1-3EFD-4FDC-BF23-70D9C1C1794C}" name="Indoor Temperature Cooling F" dataDxfId="361"/>
    <tableColumn id="6" xr3:uid="{AE2AEDD1-8A31-4099-BED9-385CF648A605}" name="Indoor Temperature Heating F" dataDxfId="360"/>
    <tableColumn id="8" xr3:uid="{5B17F9F2-C1BE-4220-8371-3B59F7F567E2}" name="Indoor Relative Humidity % RH MAX" dataDxfId="359"/>
    <tableColumn id="9" xr3:uid="{2D75BBDB-17F5-4E27-BA80-4FE75F2EACE2}" name="Indoor Relative Humidity % RH MIN" dataDxfId="358"/>
    <tableColumn id="10" xr3:uid="{67F8F344-9BBC-4140-B3E5-247E72C4894C}" name="Minimum Total ACH" dataDxfId="357"/>
    <tableColumn id="11" xr3:uid="{93979630-A7C6-47A8-8C20-3F92CEE784DB}" name="Minimum OA ACH" dataDxfId="356"/>
    <tableColumn id="12" xr3:uid="{93B93A40-26B5-4F8D-9A0B-16D3AE94AE72}" name="Room Air Return Exhaust G Exhaust S" dataDxfId="355"/>
    <tableColumn id="13" xr3:uid="{447C3001-BBF9-4326-B434-64DD9FE9022F}" name="Maximum Noise Level NC" dataDxfId="354"/>
    <tableColumn id="14" xr3:uid="{111E8679-9EB3-48AB-BF05-5D629397DA14}" name="Room Air Balance" dataDxfId="353"/>
    <tableColumn id="15" xr3:uid="{3A2B2A74-3934-404F-AB7B-3153D8720CFA}" name="Individual Room Control Temp" dataDxfId="352"/>
    <tableColumn id="16" xr3:uid="{259C4BED-0E30-4063-95D6-5BACA06567BC}" name="Individual Room Control Flow" dataDxfId="351"/>
    <tableColumn id="17" xr3:uid="{D659C2C2-DA5B-48D6-8F56-D6239C7F6B88}" name="Unoccupied ACH" dataDxfId="350"/>
    <tableColumn id="18" xr3:uid="{B400BE1F-3FDB-4FE5-9A90-77A159181A8F}" name="Note 1" dataDxfId="349"/>
    <tableColumn id="19" xr3:uid="{4164A0FB-2512-4ED7-B8E8-E741607B68EC}" name="Note 2" dataDxfId="348"/>
    <tableColumn id="20" xr3:uid="{AAF2AF84-CC08-4EFB-B2F4-E5AAFBE97F6C}" name="Note 3" dataDxfId="347"/>
    <tableColumn id="21" xr3:uid="{A41E5CE7-248B-4F8A-9540-A1DA61049DA7}" name="Note 4" dataDxfId="346"/>
    <tableColumn id="22" xr3:uid="{D43EA185-01AA-44CC-B57B-C7F391EF01A8}" name="Note 5" dataDxfId="345"/>
    <tableColumn id="23" xr3:uid="{8F2DF2C2-624F-4DA6-B270-C2A608D10318}" name="Note 6" dataDxfId="344"/>
    <tableColumn id="24" xr3:uid="{4A135CB0-88FF-4123-9A63-8A19E0CF824D}" name="Note 7" dataDxfId="343"/>
    <tableColumn id="25" xr3:uid="{AE5132EE-19E9-4CF9-A7E1-51C34A42FDA6}" name="Note 8" dataDxfId="342"/>
    <tableColumn id="26" xr3:uid="{D6C95EA3-E6FF-46CF-8B8B-FEA74DC973B4}" name="Note 9" dataDxfId="341"/>
  </tableColumns>
  <tableStyleInfo name="TableStyleLight2" showFirstColumn="0" showLastColumn="0" showRowStripes="0"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56C10296-FD64-42E8-ACC0-F9ADB76A82D7}" name="Exhaust_fan_schedule" displayName="Exhaust_fan_schedule" ref="C2:E6" totalsRowCount="1" headerRowDxfId="340" dataDxfId="339">
  <autoFilter ref="C2:E5" xr:uid="{56C10296-FD64-42E8-ACC0-F9ADB76A82D7}"/>
  <sortState xmlns:xlrd2="http://schemas.microsoft.com/office/spreadsheetml/2017/richdata2" ref="C3:E5">
    <sortCondition ref="C2:C6"/>
  </sortState>
  <tableColumns count="3">
    <tableColumn id="1" xr3:uid="{2EF87F0E-B2FE-40CF-8004-EC6584C47A76}" name="EF TAG" totalsRowFunction="count" dataDxfId="338" totalsRowDxfId="337"/>
    <tableColumn id="3" xr3:uid="{3E704BFF-5F4E-485C-AFA9-ED514363742D}" name="CFM" dataDxfId="336" totalsRowDxfId="335"/>
    <tableColumn id="4" xr3:uid="{4A3B1D74-699E-4D18-B5D1-C0F61653DA31}" name="NOTES" totalsRowFunction="count" dataDxfId="334" totalsRowDxfId="33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18F6C15-DA75-4ECA-BD32-1EA219DC3EC9}" name="Multizone_Sequences" displayName="Multizone_Sequences" ref="A2:G29" totalsRowShown="0" dataDxfId="332">
  <autoFilter ref="A2:G29" xr:uid="{627E4CE9-6691-4AFC-859C-E7C0D746D35A}"/>
  <tableColumns count="7">
    <tableColumn id="1" xr3:uid="{069DE68C-4C16-4FF1-936E-E06D2CC4D604}" name="Required" dataDxfId="331"/>
    <tableColumn id="4" xr3:uid="{2B9EC63D-306D-4CC4-AC22-574E892D0FB8}" name="Table" dataDxfId="330"/>
    <tableColumn id="5" xr3:uid="{70280D4F-C23D-4938-BECC-81A0FA02D0B7}" name="table_column" dataDxfId="329"/>
    <tableColumn id="2" xr3:uid="{2EF50A09-710A-4B88-A226-13F529DB1E80}" name="Section title" dataDxfId="328"/>
    <tableColumn id="7" xr3:uid="{7FEEA2AA-EF28-4552-88E0-E2151B638C4C}" name="Section Applicable if" dataDxfId="327"/>
    <tableColumn id="6" xr3:uid="{5ED2E464-A7EE-458B-800C-2BB8E1E53D4D}" name="Code" dataDxfId="326"/>
    <tableColumn id="3" xr3:uid="{84A7479E-66C0-4E47-B1F4-9EC41F0ED178}" name="Sequence" dataDxfId="325"/>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C8F682B-7023-4F4E-A44C-56FA3B005FE0}" name="HCAI_SUPPLY_FAN_POWER" displayName="HCAI_SUPPLY_FAN_POWER" ref="C4:F20" totalsRowCount="1" headerRowDxfId="324">
  <autoFilter ref="C4:F19" xr:uid="{5C8F682B-7023-4F4E-A44C-56FA3B005FE0}"/>
  <tableColumns count="4">
    <tableColumn id="1" xr3:uid="{C8070011-F2A4-4083-8DCF-FE718E134BD4}" name="COMPONENT" totalsRowLabel="Total"/>
    <tableColumn id="3" xr3:uid="{20C506B7-D592-4D65-8EDD-1D16170D51F7}" name="MULTIZONE"/>
    <tableColumn id="4" xr3:uid="{42015104-9596-4BA7-9B40-00513BE2F6AC}" name="CFM"/>
    <tableColumn id="2" xr3:uid="{9EC7E115-07A1-40D2-9AA9-4CC88DD13254}" name="ALLOWANCE (WATTS/CFM)" totalsRowFunction="sum"/>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4C26186-1797-46B1-A6EE-D0EDC1671702}" name="HCAI_FAN_POWER30" displayName="HCAI_FAN_POWER30" ref="C24:F40" totalsRowCount="1" headerRowDxfId="323">
  <autoFilter ref="C24:F39" xr:uid="{74C26186-1797-46B1-A6EE-D0EDC1671702}"/>
  <tableColumns count="4">
    <tableColumn id="1" xr3:uid="{14BEC509-1A23-498A-83B6-F7804E3DCA39}" name="COMPONENT" totalsRowLabel="Total"/>
    <tableColumn id="3" xr3:uid="{389F054E-0304-44F2-B6D7-A62968A74A2F}" name="MULTIZONE"/>
    <tableColumn id="4" xr3:uid="{7415C52E-8678-4267-9E25-F5114F3622E6}" name="CFM"/>
    <tableColumn id="2" xr3:uid="{61A9EC02-09FD-4DF0-8447-A9AA911ECB2E}" name="ALLOWANCE (WATTS/CFM)" totalsRowFunction="sum"/>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9B85608-0CD2-47F2-870C-191ADDE0C2B8}" name="Ahu_Ashrae_sheet" displayName="Ahu_Ashrae_sheet" ref="A5:AD7" totalsRowCount="1" headerRowDxfId="322" dataDxfId="321" totalsRowDxfId="319" tableBorderDxfId="320">
  <autoFilter ref="A5:AD6" xr:uid="{59B85608-0CD2-47F2-870C-191ADDE0C2B8}"/>
  <tableColumns count="30">
    <tableColumn id="3" xr3:uid="{80B2F9E7-1259-4673-96AB-0F4F83EB3D46}" name="Room Number" dataDxfId="318" totalsRowDxfId="29"/>
    <tableColumn id="25" xr3:uid="{C5A18D3E-2799-46A8-AC21-3915C71D2A79}" name="exhaust zone" dataDxfId="317" totalsRowDxfId="28"/>
    <tableColumn id="4" xr3:uid="{0BD09193-37D6-4F7C-BCAE-45CFF2C8A151}" name="Room" totalsRowFunction="count" dataDxfId="316" totalsRowDxfId="27"/>
    <tableColumn id="6" xr3:uid="{E95CEC16-C2FC-4214-A0EB-7A08FDEAF0F9}" name="AREA _x000a_(FT²)" totalsRowFunction="sum" dataDxfId="315" totalsRowDxfId="26"/>
    <tableColumn id="2" xr3:uid="{465D17D5-DC35-4BDD-AC35-043CF1C7357C}" name="Desired Room Balance" dataDxfId="314" totalsRowDxfId="25"/>
    <tableColumn id="18" xr3:uid="{6DA2FAE7-17CA-4FE0-8359-8C4FF34595A6}" name="Exhaust Units" dataDxfId="313" totalsRowDxfId="24"/>
    <tableColumn id="7" xr3:uid="{583FAE05-9F7D-48E5-BEF5-13CEE070C1D5}" name="OFFICE STANDARD _x000a_(CFM)" dataDxfId="312" totalsRowDxfId="23">
      <calculatedColumnFormula>IF((VLOOKUP(Ahu_Ashrae_sheet[[#This Row],[Occupancy Category]],Ashrae90.1Vent[#All],7,FALSE)) = "YES",MROUND(D6/2,5),MROUND(D6,5))</calculatedColumnFormula>
    </tableColumn>
    <tableColumn id="24" xr3:uid="{CB3DEF2C-03F8-48FF-944F-202C7E3B2EE3}" name="HEATING LOAD (CFM)" totalsRowFunction="sum" dataDxfId="311" totalsRowDxfId="22"/>
    <tableColumn id="8" xr3:uid="{47403FA0-F7C3-45DA-A426-0E7EA8BC2C2D}" name="COOLING LOAD (CFM)" totalsRowFunction="sum" dataDxfId="310" totalsRowDxfId="21"/>
    <tableColumn id="17" xr3:uid="{9950D068-2B64-41F9-A84D-F7BB46AA37B4}" name="Exhaust Category" dataDxfId="309" totalsRowDxfId="20"/>
    <tableColumn id="5" xr3:uid="{593AD6F9-FDB5-4388-9BB0-C939DB13E66D}" name="Occupancy Category" dataDxfId="308" totalsRowDxfId="19"/>
    <tableColumn id="10" xr3:uid="{7266144B-9C83-4090-884A-1BB5A987F5A7}" name="RP_x000a_(CFM/PER PERSON)" dataDxfId="307" totalsRowDxfId="18">
      <calculatedColumnFormula>VLOOKUP(Ahu_Ashrae_sheet[[#This Row],[Occupancy Category]],Ashrae90.1Vent[#All],2,FALSE)</calculatedColumnFormula>
    </tableColumn>
    <tableColumn id="11" xr3:uid="{09B8A030-EFEC-4BFF-ACC4-60D52EC4A99A}" name="RA_x000a_(CFM/FT²)" dataDxfId="306" totalsRowDxfId="17">
      <calculatedColumnFormula>VLOOKUP(Ahu_Ashrae_sheet[[#This Row],[Occupancy Category]],Ashrae90.1Vent[#All],3,FALSE)</calculatedColumnFormula>
    </tableColumn>
    <tableColumn id="9" xr3:uid="{8A1EE948-BF4B-4ECE-B0BC-2D78AE8EBCB1}" name="OCCUPANT DENSITY_x000a_(#/1000 FT²)" dataDxfId="305" totalsRowDxfId="16">
      <calculatedColumnFormula>VLOOKUP(Ahu_Ashrae_sheet[[#This Row],[Occupancy Category]],Ashrae90.1Vent[#All],4,FALSE)</calculatedColumnFormula>
    </tableColumn>
    <tableColumn id="12" xr3:uid="{B627EA84-4F12-4D9C-9B2E-8C8B23AA47EF}" name="Air Class" dataDxfId="304" totalsRowDxfId="15">
      <calculatedColumnFormula>VLOOKUP(Ahu_Ashrae_sheet[[#This Row],[Occupancy Category]],Ashrae90.1Vent[#All],5,FALSE)</calculatedColumnFormula>
    </tableColumn>
    <tableColumn id="13" xr3:uid="{2482AE45-6727-4713-94E7-C56A28C53053}" name="Occupants" totalsRowFunction="sum" dataDxfId="303" totalsRowDxfId="14">
      <calculatedColumnFormula>CEILING((N6/1000)*D6,1)</calculatedColumnFormula>
    </tableColumn>
    <tableColumn id="14" xr3:uid="{F57C4FE9-D689-4840-BE7F-8AAC8AF32E90}" name="Vbz" dataDxfId="302" totalsRowDxfId="13">
      <calculatedColumnFormula>(Ahu_Ashrae_sheet[[#This Row],[RP
(CFM/PER PERSON)]]*Ahu_Ashrae_sheet[[#This Row],[Occupants]])+(Ahu_Ashrae_sheet[[#This Row],[RA
(CFM/FT²)]]*Ahu_Ashrae_sheet[[#This Row],[AREA 
(FT²)]])</calculatedColumnFormula>
    </tableColumn>
    <tableColumn id="15" xr3:uid="{04F71ADE-9C52-4AAD-A4D5-481B6A3913FB}" name="Ez" dataDxfId="301" totalsRowDxfId="12"/>
    <tableColumn id="16" xr3:uid="{E815DDA4-80F1-4B30-89A0-831145D8A65F}" name="Voz" dataDxfId="300" totalsRowDxfId="11">
      <calculatedColumnFormula>Q6/R6</calculatedColumnFormula>
    </tableColumn>
    <tableColumn id="21" xr3:uid="{3796FC97-1024-4F8D-AF4A-C1BCEDC0304A}" name="OUTSIDE AIRFLOW (CFM) (Vot)" totalsRowFunction="sum" dataDxfId="299" totalsRowDxfId="10">
      <calculatedColumnFormula>Ahu_Ashrae_sheet[[#This Row],[Voz]]</calculatedColumnFormula>
    </tableColumn>
    <tableColumn id="23" xr3:uid="{D05FF6A7-2E60-430B-AE82-815C132F1D10}" name="Misc Exhaust From Room" dataDxfId="298" totalsRowDxfId="9"/>
    <tableColumn id="20" xr3:uid="{13FA33DD-5792-4573-864F-06398F2084BA}" name="Exhausted?" dataDxfId="297" totalsRowDxfId="8">
      <calculatedColumnFormula>IF(Ahu_Ashrae_sheet[[#This Row],[Exhaust Category]] = "NOT APPLICABLE","NR","YES")</calculatedColumnFormula>
    </tableColumn>
    <tableColumn id="27" xr3:uid="{D6F07612-EAC0-4AD6-8EB3-909D232BF60F}" name="EA RATE_x000a_(CFM/UNIT)" dataDxfId="296" totalsRowDxfId="7">
      <calculatedColumnFormula>IF(Ahu_Ashrae_sheet[[#This Row],[Exhaust Category]]="NOT APPLICABLE","NA",VLOOKUP(Ahu_Ashrae_sheet[[#This Row],[Exhaust Category]],ASHRAE_EA_Table[#All],2,FALSE))</calculatedColumnFormula>
    </tableColumn>
    <tableColumn id="19" xr3:uid="{162CF25C-455F-4425-BBCF-EF541E4CC9A8}" name="EA RATE_x000a_(CFM/FT²)" dataDxfId="295" totalsRowDxfId="6">
      <calculatedColumnFormula>IF(Ahu_Ashrae_sheet[[#This Row],[Exhaust Category]]="NOT APPLICABLE","NA",VLOOKUP(Ahu_Ashrae_sheet[[#This Row],[Exhaust Category]],ASHRAE_EA_Table[#All],3,FALSE))</calculatedColumnFormula>
    </tableColumn>
    <tableColumn id="28" xr3:uid="{B0045427-3B74-4ECE-A325-8F14C261EA1F}" name="MIN ASHRAE EA_x000a_(CFM)" dataDxfId="294" totalsRowDxfId="5">
      <calculatedColumnFormula>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calculatedColumnFormula>
    </tableColumn>
    <tableColumn id="22" xr3:uid="{A28E5D34-9B1F-421B-88CE-1EDD499FE4B0}" name="DESIGN SA(CFM)" totalsRowFunction="sum" dataDxfId="293" totalsRowDxfId="4">
      <calculatedColumnFormula array="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calculatedColumnFormula>
    </tableColumn>
    <tableColumn id="26" xr3:uid="{E5C38A60-425D-4F6C-9FDB-5E20E1A3E7E8}" name="DESIGN RA(CFM)" totalsRowFunction="sum" dataDxfId="292" totalsRowDxfId="3">
      <calculatedColumnFormula array="1">Returnair(Ahu_Ashrae_sheet[[#This Row],[DESIGN SA(CFM)]],Ahu_Ashrae_sheet[[#This Row],[Desired Room Balance]],Ahu_Ashrae_sheet[[#This Row],[Exhausted?]],Ahu_Ashrae_sheet[[#This Row],[Misc Exhaust From Room]])</calculatedColumnFormula>
    </tableColumn>
    <tableColumn id="29" xr3:uid="{7CBBFD1A-04A3-40BF-ADB5-C1CAA7ED83DE}" name="DESIGN EA (CFM)" totalsRowFunction="sum" dataDxfId="291" totalsRowDxfId="2">
      <calculatedColumnFormula array="1">Exhaustair(Ahu_Ashrae_sheet[[#This Row],[DESIGN SA(CFM)]],Ahu_Ashrae_sheet[[#This Row],[Exhausted?]],Ahu_Ashrae_sheet[[#This Row],[MIN ASHRAE EA
(CFM)]],Ahu_Ashrae_sheet[[#This Row],[Desired Room Balance]],Ahu_Ashrae_sheet[[#This Row],[Misc Exhaust From Room]])</calculatedColumnFormula>
    </tableColumn>
    <tableColumn id="30" xr3:uid="{AB62DC65-850C-4361-8132-0512F10C7B71}" name="Transfer Air CFM" dataDxfId="290" totalsRowDxfId="1">
      <calculatedColumnFormula>Ahu_Ashrae_sheet[[#This Row],[DESIGN SA(CFM)]]-Ahu_Ashrae_sheet[[#This Row],[DESIGN RA(CFM)]]-Ahu_Ashrae_sheet[[#This Row],[DESIGN EA (CFM)]]</calculatedColumnFormula>
    </tableColumn>
    <tableColumn id="35" xr3:uid="{0A6D88A1-5A0C-4F78-ADE8-54D0A5956F9A}" name="OA Frac (Z)" dataDxfId="289" totalsRowDxfId="0" dataCellStyle="Percent">
      <calculatedColumnFormula>Ahu_Ashrae_sheet[[#This Row],[OUTSIDE AIRFLOW (CFM) (Vot)]]/Ahu_Ashrae_sheet[[#This Row],[DESIGN SA(CFM)]]</calculatedColumnFormula>
    </tableColumn>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B6C855-6196-4D00-AA61-5C5B3CA139C9}" name="Ahu_t24_sheet" displayName="Ahu_t24_sheet" ref="A5:AD11" totalsRowCount="1" headerRowDxfId="288" dataDxfId="287" totalsRowDxfId="285" tableBorderDxfId="286">
  <autoFilter ref="A5:AD10" xr:uid="{59B85608-0CD2-47F2-870C-191ADDE0C2B8}"/>
  <tableColumns count="30">
    <tableColumn id="32" xr3:uid="{F2A23082-3ACA-4DCE-B6ED-25BF098F118E}" name="ZONE" dataDxfId="284" totalsRowDxfId="283"/>
    <tableColumn id="3" xr3:uid="{1558357E-8EBF-4B73-BD31-6A95FDDDA9E9}" name="Room Number" dataDxfId="282" totalsRowDxfId="281"/>
    <tableColumn id="4" xr3:uid="{1BB66D0C-2C0F-4780-8598-D02C37E734E3}" name="Room" totalsRowFunction="count" dataDxfId="280" totalsRowDxfId="279"/>
    <tableColumn id="6" xr3:uid="{2BAFA973-1565-4962-A13F-A92F505DDEE0}" name="AREA _x000a_(FT²)" totalsRowFunction="sum" dataDxfId="278" totalsRowDxfId="277"/>
    <tableColumn id="25" xr3:uid="{524B1BFC-4B23-4E1E-B9FF-5B99084BD76A}" name="Occupancy Sensor Installed?" dataDxfId="276" totalsRowDxfId="275"/>
    <tableColumn id="2" xr3:uid="{9C92BEB5-FC53-4D7D-A9CF-46220BF5AF16}" name="Desired Room Balance" dataDxfId="274" totalsRowDxfId="273"/>
    <tableColumn id="18" xr3:uid="{E6413D49-6D04-47B1-803F-8DA3152E6552}" name="Exhaust Units" dataDxfId="272" totalsRowDxfId="271"/>
    <tableColumn id="7" xr3:uid="{68A03055-C6B4-4715-B12A-A31EFA95070D}" name="OFFICE STANDARD _x000a_(CFM)" dataDxfId="270" totalsRowDxfId="269">
      <calculatedColumnFormula>IF((VLOOKUP(Ahu_t24_sheet[[#This Row],[Occupancy Category]],T24_VENT[#All],6,FALSE)) = "YES",MROUND(D6/2,5),MROUND(D6,5))</calculatedColumnFormula>
    </tableColumn>
    <tableColumn id="24" xr3:uid="{4BE021B2-C4D6-4624-8F29-600A7A862AF2}" name="HEATING LOAD (CFM)" totalsRowFunction="sum" dataDxfId="268" totalsRowDxfId="267"/>
    <tableColumn id="8" xr3:uid="{8B3079F1-59B2-473F-8AEF-E76F8D844088}" name="COOLING LOAD (CFM)" totalsRowFunction="sum" dataDxfId="266" totalsRowDxfId="265"/>
    <tableColumn id="17" xr3:uid="{591766BC-F096-4EBB-83C6-3F47660A2424}" name="Exhaust Category" dataDxfId="264" totalsRowDxfId="263"/>
    <tableColumn id="23" xr3:uid="{6ED55E7E-F493-4CB0-9B63-60651A3D7036}" name="Misc Exhaust From Room" dataDxfId="262" totalsRowDxfId="261"/>
    <tableColumn id="5" xr3:uid="{0CC1E757-5EB5-4447-8E87-AF4AA5FDFDD1}" name="Occupancy Category" dataDxfId="260" totalsRowDxfId="259"/>
    <tableColumn id="1" xr3:uid="{51F4060A-4276-4671-A505-B4B40E01D989}" name="FIXED SEATING OR SPACE DESIGNED WITH EXCEPTION TO 1004.5" dataDxfId="258" totalsRowDxfId="257"/>
    <tableColumn id="10" xr3:uid="{7836A33F-A278-422A-BB03-AEE27C78EED4}" name="NUMBER OF OCCUPANTS " dataDxfId="256" totalsRowDxfId="255"/>
    <tableColumn id="11" xr3:uid="{970C2AD4-F791-4CD4-8E64-2323E58A3D26}" name="TOTAL OA RATE_x000a_(CFM/FT²)" dataDxfId="254" totalsRowDxfId="253">
      <calculatedColumnFormula>VLOOKUP(Ahu_t24_sheet[[#This Row],[Occupancy Category]],T24_VENT[#All],2,FALSE)</calculatedColumnFormula>
    </tableColumn>
    <tableColumn id="9" xr3:uid="{301D26D7-33DC-41C1-85BB-C022C24BA83B}" name="MIN VENT AIR FOR DCV (CFM/FT²)" dataDxfId="252" totalsRowDxfId="251">
      <calculatedColumnFormula>VLOOKUP(Ahu_t24_sheet[[#This Row],[Occupancy Category]],T24_VENT[#All],3,FALSE)</calculatedColumnFormula>
    </tableColumn>
    <tableColumn id="12" xr3:uid="{478F0C4E-2AF7-4BBE-B14E-617DF7C4D1CA}" name="Air Class" dataDxfId="250" totalsRowDxfId="249">
      <calculatedColumnFormula>VLOOKUP(Ahu_t24_sheet[[#This Row],[Occupancy Category]],T24_VENT[#All],4,FALSE)</calculatedColumnFormula>
    </tableColumn>
    <tableColumn id="21" xr3:uid="{FA915F77-9CF0-4577-975E-F75B4044B86D}" name="Occupancy Stanby Permitted?" dataDxfId="248" totalsRowDxfId="247">
      <calculatedColumnFormula>VLOOKUP(Ahu_t24_sheet[[#This Row],[Occupancy Category]],T24_VENT[#All],5,FALSE)</calculatedColumnFormula>
    </tableColumn>
    <tableColumn id="14" xr3:uid="{A5E2DDF0-8064-4C55-BA6E-E4CF542071A1}" name="Vz (CFM)" totalsRowFunction="sum" dataDxfId="246" totalsRowDxfId="245">
      <calculatedColumnFormula>IF(Ahu_t24_sheet[[#This Row],[FIXED SEATING OR SPACE DESIGNED WITH EXCEPTION TO 1004.5]]="YES",MAX(Ahu_t24_sheet[[#This Row],[TOTAL OA RATE
(CFM/FT²)]]*Ahu_t24_sheet[[#This Row],[AREA 
(FT²)]],15*Ahu_t24_sheet[[#This Row],[NUMBER OF OCCUPANTS ]]),Ahu_t24_sheet[[#This Row],[TOTAL OA RATE
(CFM/FT²)]]*Ahu_t24_sheet[[#This Row],[AREA 
(FT²)]])</calculatedColumnFormula>
    </tableColumn>
    <tableColumn id="13" xr3:uid="{62AD44B0-8607-43BD-91E8-838FD67CE6AC}" name="Vz (DCV CFM)" dataDxfId="244" totalsRowDxfId="243">
      <calculatedColumnFormula>IF(AND(Ahu_t24_sheet[[#This Row],[Occupancy Sensor Installed?]]="YES",Ahu_t24_sheet[[#This Row],[Occupancy Stanby Permitted?]]="YES"),0,Ahu_t24_sheet[[#This Row],[MIN VENT AIR FOR DCV (CFM/FT²)]]*Ahu_t24_sheet[[#This Row],[AREA 
(FT²)]])</calculatedColumnFormula>
    </tableColumn>
    <tableColumn id="15" xr3:uid="{EE186793-55D0-4690-A08B-C647BE68247D}" name="DCV Required?" dataDxfId="242" totalsRowDxfId="241">
      <calculatedColumnFormula>IF(AND(OR(($K$1 = "YES"),Ahu_t24_sheet[[#Totals],[Vz (CFM)]]&gt;2900),( VLOOKUP(Ahu_t24_sheet[[#This Row],[Occupancy Category]],T24_VENT[#All],7,FALSE))&gt;24),"YES","NO")</calculatedColumnFormula>
    </tableColumn>
    <tableColumn id="20" xr3:uid="{6921C187-F9FA-43D4-B86E-2C31535DB37C}" name="Exhausted?" dataDxfId="240" totalsRowDxfId="239">
      <calculatedColumnFormula>IF(Ahu_t24_sheet[[#This Row],[Exhaust Category]] = "NOT APPLICABLE","NR","YES")</calculatedColumnFormula>
    </tableColumn>
    <tableColumn id="27" xr3:uid="{56C6CD4F-3496-461E-9AC9-0B0C27C01DB7}" name="EA RATE_x000a_(CFM/UNIT)" dataDxfId="238" totalsRowDxfId="237">
      <calculatedColumnFormula>IF(Ahu_t24_sheet[[#This Row],[Exhaust Category]]="NOT APPLICABLE","NA",VLOOKUP(Ahu_t24_sheet[[#This Row],[Exhaust Category]],TITLE24_EXHAUST_TABLE[#All],2,FALSE))</calculatedColumnFormula>
    </tableColumn>
    <tableColumn id="19" xr3:uid="{1DF147D0-7F91-4BE6-8B6A-1A24F2D64111}" name="EA RATE_x000a_(CFM/FT²)" dataDxfId="236" totalsRowDxfId="235">
      <calculatedColumnFormula>IF(Ahu_t24_sheet[[#This Row],[Exhaust Category]]="NOT APPLICABLE","NA",VLOOKUP(Ahu_t24_sheet[[#This Row],[Exhaust Category]],TITLE24_EXHAUST_TABLE[#All],3,FALSE))</calculatedColumnFormula>
    </tableColumn>
    <tableColumn id="28" xr3:uid="{3F36F19F-6A54-49C6-86F1-7DDF6F309844}" name="MIN EA_x000a_(CFM)" dataDxfId="234" totalsRowDxfId="233">
      <calculatedColumnFormula>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calculatedColumnFormula>
    </tableColumn>
    <tableColumn id="22" xr3:uid="{1402EB34-5C18-48F4-B3BA-9DA29D0ECE83}" name="DESIGN SA(CFM)" totalsRowFunction="sum" dataDxfId="232" totalsRowDxfId="231">
      <calculatedColumnFormula array="1">supplyair(Ahu_t24_sheet[[#This Row],[COOLING LOAD (CFM)]],Ahu_t24_sheet[[#This Row],[OFFICE STANDARD 
(CFM)]],Ahu_t24_sheet[[#This Row],[OFFICE STANDARD 
(CFM)]],Ahu_t24_sheet[[#This Row],[Desired Room Balance]],Ahu_t24_sheet[[#This Row],[Exhausted?]],Ahu_t24_sheet[[#This Row],[MIN EA
(CFM)]],Ahu_t24_sheet[[#This Row],[Misc Exhaust From Room]],#REF!)</calculatedColumnFormula>
    </tableColumn>
    <tableColumn id="26" xr3:uid="{4E9704E5-180B-418E-A642-2D16070DF2C4}" name="DESIGN RA(CFM)" totalsRowFunction="sum" dataDxfId="230" totalsRowDxfId="229">
      <calculatedColumnFormula array="1">Returnair(Ahu_t24_sheet[[#This Row],[DESIGN SA(CFM)]],Ahu_t24_sheet[[#This Row],[Desired Room Balance]],Ahu_t24_sheet[[#This Row],[Exhausted?]],Ahu_t24_sheet[[#This Row],[Misc Exhaust From Room]])</calculatedColumnFormula>
    </tableColumn>
    <tableColumn id="29" xr3:uid="{A3C2B89C-307B-4EB2-B6FA-9B84DB49DFB9}" name="DESIGN EA(CFM)" totalsRowFunction="sum" dataDxfId="228" totalsRowDxfId="227">
      <calculatedColumnFormula array="1">Exhaustair(Ahu_t24_sheet[[#This Row],[DESIGN SA(CFM)]],Ahu_t24_sheet[[#This Row],[Exhausted?]],Ahu_t24_sheet[[#This Row],[MIN EA
(CFM)]],Ahu_t24_sheet[[#This Row],[Desired Room Balance]],Ahu_t24_sheet[[#This Row],[Misc Exhaust From Room]])</calculatedColumnFormula>
    </tableColumn>
    <tableColumn id="30" xr3:uid="{11CB4A1C-D3EA-4329-AD71-C5E85B43922A}" name="Transfer Air CFM" dataDxfId="226" totalsRowDxfId="225">
      <calculatedColumnFormula>Ahu_t24_sheet[[#This Row],[DESIGN SA(CFM)]]-Ahu_t24_sheet[[#This Row],[DESIGN RA(CFM)]]-Ahu_t24_sheet[[#This Row],[DESIGN EA(CFM)]]</calculatedColumnFormula>
    </tableColumn>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22567B-F5DC-4109-9DD8-283914BD9235}" name="Table25" displayName="Table25" ref="A3:J4" totalsRowShown="0" headerRowDxfId="224" dataDxfId="223">
  <autoFilter ref="A3:J4" xr:uid="{4722567B-F5DC-4109-9DD8-283914BD9235}"/>
  <tableColumns count="10">
    <tableColumn id="1" xr3:uid="{7D32C4A6-C19F-4D01-97E5-A1152A1BAEF9}" name="CHILLER TAG" dataDxfId="222"/>
    <tableColumn id="2" xr3:uid="{2219859C-7B83-4D4B-A75A-A8A2A4E1086F}" name="DIVERSITY" dataDxfId="221"/>
    <tableColumn id="3" xr3:uid="{BA02662D-DD67-4799-B231-94579CAAD06B}" name="CHILLER CAPACITY (TONS)" dataDxfId="220"/>
    <tableColumn id="4" xr3:uid="{4F5A2DE8-3875-4648-B923-B9E9E51FB566}" name="GPM" dataDxfId="219"/>
    <tableColumn id="5" xr3:uid="{15DC3BCA-6D04-4789-965C-D3D3A5383153}" name="CHWS" dataDxfId="218">
      <calculatedColumnFormula>INPUT_OUTPUTS!$C$14</calculatedColumnFormula>
    </tableColumn>
    <tableColumn id="6" xr3:uid="{01AB0C6C-E62D-46F2-B380-43509BFE6335}" name="CHWR" dataDxfId="217">
      <calculatedColumnFormula>INPUT_OUTPUTS!$C$15</calculatedColumnFormula>
    </tableColumn>
    <tableColumn id="7" xr3:uid="{C76994DA-F032-48B5-8C99-41CBBB7D797D}" name="Heat Rejection at Condenser (BTU/HR)" dataDxfId="216">
      <calculatedColumnFormula>Table25[[#This Row],[CHILLER CAPACITY (TONS)]]*1.25*12000</calculatedColumnFormula>
    </tableColumn>
    <tableColumn id="8" xr3:uid="{837A511C-9CFD-450B-8079-ABE6A6434507}" name="CONDENSER WATER EWT" dataDxfId="215"/>
    <tableColumn id="9" xr3:uid="{CFCF58DF-DEF6-479A-BDB7-A4227602C482}" name="CONDENSER WATER LWT" dataDxfId="214"/>
    <tableColumn id="10" xr3:uid="{F6B54F02-73CB-4519-822B-2045E12E5116}" name="CONDENSER WATER GPM" dataDxfId="213"/>
  </tableColumns>
  <tableStyleInfo name="TableStyleLight1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29CC425-19F2-45FE-821A-B7C6029BB5DC}" name="Table2527" displayName="Table2527" ref="A10:I11" totalsRowShown="0" headerRowDxfId="212" dataDxfId="211">
  <autoFilter ref="A10:I11" xr:uid="{C29CC425-19F2-45FE-821A-B7C6029BB5DC}"/>
  <tableColumns count="9">
    <tableColumn id="1" xr3:uid="{5368AA83-F46B-4C9B-B009-F085D4A44FD6}" name="BOILER TAG" dataDxfId="210"/>
    <tableColumn id="2" xr3:uid="{5EDA7B46-81EF-4834-97B5-79E0DF18F950}" name="DIVERSITY" dataDxfId="209"/>
    <tableColumn id="3" xr3:uid="{F9420D41-EB15-4E1F-9F2A-27104B8EC2A8}" name="BOILER CAPACITY (MBH)" dataDxfId="208"/>
    <tableColumn id="4" xr3:uid="{F59EBC9A-341C-4F3D-B7D6-FAD0EF67875E}" name="GPM" dataDxfId="207"/>
    <tableColumn id="5" xr3:uid="{A792A9D3-4942-4862-BB19-A64B1CFF9225}" name="HHWS" dataDxfId="206">
      <calculatedColumnFormula>INPUT_OUTPUTS!$C$16</calculatedColumnFormula>
    </tableColumn>
    <tableColumn id="6" xr3:uid="{562E62FC-8D21-4FA4-83DF-803FF786D998}" name="HHWR" dataDxfId="205">
      <calculatedColumnFormula>INPUT_OUTPUTS!$C$17</calculatedColumnFormula>
    </tableColumn>
    <tableColumn id="7" xr3:uid="{77071E59-15A7-44EC-996F-3ED96EB3ED78}" name="BOILER EFFICIENCY" dataDxfId="204"/>
    <tableColumn id="8" xr3:uid="{C733E27D-DC94-48B8-9AC1-906D695D9E7C}" name="INPUT MBH" dataDxfId="203"/>
    <tableColumn id="9" xr3:uid="{2FE11277-C4AC-4AC1-AF1F-F79F1575B738}" name="INPUT KW" dataDxfId="202"/>
  </tableColumns>
  <tableStyleInfo name="TableStyleLight1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4E89E57-AF2C-455E-B912-88382F81D012}" name="FCU_Base_Data" displayName="FCU_Base_Data" ref="A3:L4" totalsRowShown="0" headerRowDxfId="200" dataDxfId="198" headerRowBorderDxfId="199" tableBorderDxfId="197" totalsRowBorderDxfId="196">
  <autoFilter ref="A3:L4" xr:uid="{44411FB6-142F-46EF-BD79-8AC0ACDCD97C}"/>
  <tableColumns count="12">
    <tableColumn id="2" xr3:uid="{62DD3D9A-906E-45A0-B542-4A2341DA2C9C}" name="Room _x000a_Name" dataDxfId="195"/>
    <tableColumn id="3" xr3:uid="{B1B58D13-F691-4812-86FC-1BD13B5FE08C}" name="Room _x000a_number " dataDxfId="194"/>
    <tableColumn id="16" xr3:uid="{F1838AD3-D9DF-49E3-A3C1-184B19DDC80D}" name="Room Temp DB" dataDxfId="193" dataCellStyle="Normal 2"/>
    <tableColumn id="15" xr3:uid="{2D4DFC2A-0F76-4D59-A5E8-AD011532B420}" name="Room Temp WB" dataDxfId="192" dataCellStyle="Normal 2"/>
    <tableColumn id="4" xr3:uid="{C260CC61-7A7D-4057-AEFB-C80919810633}" name="Area_x000a_(ft2)" dataDxfId="191"/>
    <tableColumn id="5" xr3:uid="{F7F236E1-500B-4060-8EAE-29336EE30DA0}" name="Height (ft)" dataDxfId="190"/>
    <tableColumn id="7" xr3:uid="{227EB29C-B6BC-4137-8F34-0D23A4AF4E54}" name="Envelope Sensible Load _x000a_(BTU/HR)" dataDxfId="189"/>
    <tableColumn id="12" xr3:uid="{D265DEF2-837E-444C-B067-0031EA556754}" name="Envelope Latent Load _x000a_(BTU/HR)" dataDxfId="188" dataCellStyle="Normal 2"/>
    <tableColumn id="6" xr3:uid="{DB85C359-06D6-46CF-8260-71BE36AA06B9}" name="Make up Air or OA required (CFM)" dataDxfId="187" dataCellStyle="Normal 2"/>
    <tableColumn id="8" xr3:uid="{DAE5E387-355D-4E93-BEA3-086D65076529}" name="Watts Per Sqft _x000a_from Equipment" dataDxfId="186">
      <calculatedColumnFormula>(FCU_Heat_Generating_Equipment[[#Totals],[Total 
BTUs]]*0.29307107)/FCU_Base_Data[[#This Row],[Area
(ft2)]]</calculatedColumnFormula>
    </tableColumn>
    <tableColumn id="9" xr3:uid="{EF1FA1B9-A715-4623-BF33-F6A3B3D44210}" name="Total Sensible Load (BTUs/Hr)" dataDxfId="185">
      <calculatedColumnFormula>FCU_Base_Data[[#This Row],[Envelope Sensible Load 
(BTU/HR)]]+FCU_Heat_Generating_Equipment[[#Totals],[Total 
BTUs]]+(1.1*FCU_Base_Data[[#This Row],[Make up Air or OA required (CFM)]]*(INPUT_OUTPUTS!C8-FCU_Base_Data[[#This Row],[Room Temp DB]]))</calculatedColumnFormula>
    </tableColumn>
    <tableColumn id="14" xr3:uid="{0F6512FF-3B52-4C13-B178-E8A968F0B0DA}" name="Total Latent Load (BTUs/Hr)" dataDxfId="184">
      <calculatedColumnFormula array="1">totalLatentLoad(FCU_Base_Data[[#This Row],[Envelope Latent Load 
(BTU/HR)]],FCU_Base_Data[[#This Row],[Room Temp DB]],FCU_Base_Data[[#This Row],[Room Temp WB]],INPUT_OUTPUTS!G6,FCU_Base_Data[[#This Row],[Make up Air or OA required (CFM)]],INPUT_OUTPUTS!C8,INPUT_OUTPUTS!C9,INPUT_OUTPUTS!C10,INPUT_OUTPUTS!C11)</calculatedColumnFormula>
    </tableColumn>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BC32638-447B-4BCE-9C6C-C1EF6EBC4AE9}" name="FCU_Heat_Generating_Equipment" displayName="FCU_Heat_Generating_Equipment" ref="A9:L13" totalsRowCount="1" headerRowDxfId="183" dataDxfId="182" totalsRowDxfId="181" totalsRowBorderDxfId="180">
  <autoFilter ref="A9:L12" xr:uid="{0C5BFFEC-5ED1-469A-806C-32647A480394}"/>
  <tableColumns count="12">
    <tableColumn id="1" xr3:uid="{BEB8D356-84F4-43B5-924E-B32568058F62}" name="Equipment" totalsRowLabel="Total Load" dataDxfId="179" totalsRowDxfId="178"/>
    <tableColumn id="2" xr3:uid="{9E4D2415-B14D-40B1-95E0-0C9672C8440D}" name="General Equipment _x000a_(BTU/HR)" dataDxfId="177" totalsRowDxfId="176"/>
    <tableColumn id="3" xr3:uid="{8FC3D2BE-D9BD-4007-B636-1672EEADE304}" name="General Equipment _x000a_(Watts)" dataDxfId="175" totalsRowDxfId="174"/>
    <tableColumn id="5" xr3:uid="{43A25169-3CD7-454F-9554-9E297F7BF8D4}" name="Transformer _x000a_(KVA)" dataDxfId="173" totalsRowDxfId="172"/>
    <tableColumn id="6" xr3:uid="{1CFACC13-8384-4E61-B065-A744D3DEDDD3}" name="Transformer _x000a_Efficiency" dataDxfId="171" totalsRowDxfId="170"/>
    <tableColumn id="9" xr3:uid="{8A1B45D2-E6CC-448E-BC2D-015842AECA2A}" name="Server Load _x000a_(Watts)" dataDxfId="169" totalsRowDxfId="168"/>
    <tableColumn id="12" xr3:uid="{636C612B-90A4-4E97-B47D-4ADB9575C0B7}" name="Number of Servers" dataDxfId="167" totalsRowDxfId="166"/>
    <tableColumn id="10" xr3:uid="{9F66B44D-0B69-40BE-B03A-CD99F331EA51}" name="Server Diversity" dataDxfId="165" totalsRowDxfId="164"/>
    <tableColumn id="7" xr3:uid="{448F62D4-0325-4934-B4E5-0AFBC213E284}" name="Transformer _x000a_BTUs" dataDxfId="163" totalsRowDxfId="162">
      <calculatedColumnFormula>D10*(1-E10)*3412.14</calculatedColumnFormula>
    </tableColumn>
    <tableColumn id="4" xr3:uid="{99351F7A-5C5A-43A4-B46A-78E05CB0E0DC}" name="Watts _x000a_to BTUs" dataDxfId="161" totalsRowDxfId="160">
      <calculatedColumnFormula>C10*3.41</calculatedColumnFormula>
    </tableColumn>
    <tableColumn id="11" xr3:uid="{386FF5F8-7A2D-4E02-83E4-59A31EA3329D}" name="Server Load _x000a_(BTUs)" dataDxfId="159" totalsRowDxfId="158">
      <calculatedColumnFormula>FCU_Heat_Generating_Equipment[[#This Row],[Server Load 
(Watts)]]*FCU_Heat_Generating_Equipment[[#This Row],[Server Diversity]]*3.41*FCU_Heat_Generating_Equipment[[#This Row],[Number of Servers]]</calculatedColumnFormula>
    </tableColumn>
    <tableColumn id="8" xr3:uid="{24A8FBA9-A563-4E66-96C9-7D475E96F498}" name="Total _x000a_BTUs" totalsRowFunction="sum" dataDxfId="157" totalsRowDxfId="156">
      <calculatedColumnFormula>MROUND(SUM(FCU_Heat_Generating_Equipment[[#This Row],[General Equipment 
(BTU/HR)]],FCU_Heat_Generating_Equipment[[#This Row],[Watts 
to BTUs]],FCU_Heat_Generating_Equipment[[#This Row],[Transformer 
BTUs]],FCU_Heat_Generating_Equipment[[#This Row],[Server Load 
(BTUs)]]),5)</calculatedColumnFormula>
    </tableColum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549DDA-58B9-454D-BB1A-893F61F17227}" name="FCU_Schedules" displayName="FCU_Schedules" ref="A11:AC13" totalsRowCount="1" headerRowDxfId="155" dataDxfId="153" headerRowBorderDxfId="154" tableBorderDxfId="152">
  <autoFilter ref="A11:AC12" xr:uid="{E6D9D33A-2DE5-364A-B78C-5DD7A614D29B}"/>
  <tableColumns count="29">
    <tableColumn id="1" xr3:uid="{8F0B1537-0A79-4F26-BBC1-ABDEF31A2274}" name="TAG" totalsRowLabel="Total" dataDxfId="151" totalsRowDxfId="150"/>
    <tableColumn id="2" xr3:uid="{15B37BBD-9CA2-48E8-AAF4-88EB052224A5}" name="Supply CFM" totalsRowFunction="sum" dataDxfId="149" totalsRowDxfId="148">
      <calculatedColumnFormula>MROUND(FCU_Schedules[[#This Row],[Total Load]]/(4.5*(FCU_Schedules[[#This Row],[Mixed Air Enthalpy]]-FCU_Schedules[[#This Row],[Leaving air Enthalpy]])),5)</calculatedColumnFormula>
    </tableColumn>
    <tableColumn id="4" xr3:uid="{EEAD63A0-2D37-4A3A-A2D2-44BD3554907A}" name="Return CFM" dataDxfId="147" totalsRowDxfId="146">
      <calculatedColumnFormula>FCU_Schedules[[#This Row],[Supply CFM]]-FCU_Schedules[[#This Row],[Outside Air CFM]]</calculatedColumnFormula>
    </tableColumn>
    <tableColumn id="6" xr3:uid="{FD957343-AFCA-4D1E-A1D9-8226DF6BCE02}" name="Return Drybulb" dataDxfId="145" totalsRowDxfId="144"/>
    <tableColumn id="7" xr3:uid="{FD210E09-D3A7-4829-BEFF-304D3716F3E8}" name="Return Wetbulb" dataDxfId="143" totalsRowDxfId="142"/>
    <tableColumn id="8" xr3:uid="{58D5B86B-6B27-4C4F-9592-0F8B85897FC1}" name="Outside Air CFM" dataDxfId="141" totalsRowDxfId="140"/>
    <tableColumn id="9" xr3:uid="{A71BD3A8-43D2-48B5-9554-98B4EEE172A4}" name="Outside Air DB" dataDxfId="139" totalsRowDxfId="138">
      <calculatedColumnFormula>INPUT_OUTPUTS!$C$8</calculatedColumnFormula>
    </tableColumn>
    <tableColumn id="10" xr3:uid="{962517D7-650F-477B-A57C-B2CC27B9D32B}" name="Outside Air WB" dataDxfId="137" totalsRowDxfId="136">
      <calculatedColumnFormula>INPUT_OUTPUTS!$C$9</calculatedColumnFormula>
    </tableColumn>
    <tableColumn id="14" xr3:uid="{55948B91-497F-4F3F-9D0B-F5D2DD6AD125}" name="Winter Temp" dataDxfId="135" totalsRowDxfId="134">
      <calculatedColumnFormula>INPUT_OUTPUTS!$F$8</calculatedColumnFormula>
    </tableColumn>
    <tableColumn id="15" xr3:uid="{0D7DF5B1-BA71-4D3D-959F-20B1F51EED47}" name="Exfiltration CFM" dataDxfId="133" totalsRowDxfId="132">
      <calculatedColumnFormula>C12+F12-B12</calculatedColumnFormula>
    </tableColumn>
    <tableColumn id="16" xr3:uid="{415DDCF1-FAFC-4669-99BA-877DB46ACF79}" name="Mixed air DB" dataDxfId="131" totalsRowDxfId="130">
      <calculatedColumnFormula>FCU_Schedules[[#This Row],[Return Drybulb]]</calculatedColumnFormula>
    </tableColumn>
    <tableColumn id="17" xr3:uid="{0BB19E89-8C4B-496F-A356-FCBB6AF7D5E7}" name="Mixed air WB" dataDxfId="129" totalsRowDxfId="128">
      <calculatedColumnFormula>FCU_Schedules[[#This Row],[Return Wetbulb]]</calculatedColumnFormula>
    </tableColumn>
    <tableColumn id="18" xr3:uid="{EAE63929-234F-44E8-A139-6D00809F5AB5}" name="Mixed Air Enthalpy" dataDxfId="127" totalsRowDxfId="126">
      <calculatedColumnFormula array="1">GetMoistAirEnthalpy(FCU_Schedules[[#This Row],[Mixed air DB]],(GetHumRatioFromTWetBulb(FCU_Schedules[[#This Row],[Mixed air DB]],FCU_Schedules[[#This Row],[Mixed air WB]],GetStandardAtmPressure(INPUT_OUTPUTS!$G$6))))</calculatedColumnFormula>
    </tableColumn>
    <tableColumn id="19" xr3:uid="{01780C45-CA4C-4AA5-A83A-F2B773B82A96}" name="Leaving Air DB" dataDxfId="125" totalsRowDxfId="124"/>
    <tableColumn id="20" xr3:uid="{497BA7BC-1B08-487D-9189-15C5F27B9D96}" name="Leaving Air WB" dataDxfId="123" totalsRowDxfId="122"/>
    <tableColumn id="21" xr3:uid="{D834ADEA-CA81-4E72-B13A-9F9B52C6F213}" name="Leaving air Enthalpy" dataDxfId="121" totalsRowDxfId="120">
      <calculatedColumnFormula array="1">GetMoistAirEnthalpy(FCU_Schedules[[#This Row],[Leaving Air DB]],(GetHumRatioFromTWetBulb(FCU_Schedules[[#This Row],[Leaving Air DB]],FCU_Schedules[[#This Row],[Leaving Air WB]],GetStandardAtmPressure(INPUT_OUTPUTS!$G$6))))</calculatedColumnFormula>
    </tableColumn>
    <tableColumn id="22" xr3:uid="{E39D1E7B-7023-4A88-B5BD-CBE6319A06C6}" name="Sensible Load" dataDxfId="119" totalsRowDxfId="118"/>
    <tableColumn id="23" xr3:uid="{E1DC3503-995B-4E2E-A4C0-FA1A8BF304BD}" name="Total Load" dataDxfId="117" totalsRowDxfId="116"/>
    <tableColumn id="24" xr3:uid="{5011ECC7-02E0-4385-8D67-6977D0315C8E}" name="Total Tonnage" dataDxfId="115" totalsRowDxfId="114">
      <calculatedColumnFormula>IF(R12&lt;Q12,"INVALID POINT",R12/12000)</calculatedColumnFormula>
    </tableColumn>
    <tableColumn id="25" xr3:uid="{2828AC03-64A6-4419-968F-07E097EE33B9}" name="EWT" dataDxfId="113" totalsRowDxfId="112">
      <calculatedColumnFormula>INPUT_OUTPUTS!$C$14</calculatedColumnFormula>
    </tableColumn>
    <tableColumn id="26" xr3:uid="{DB3E362B-B672-4561-8355-608CD347B6D8}" name="LWT" dataDxfId="111" totalsRowDxfId="110">
      <calculatedColumnFormula>INPUT_OUTPUTS!$C$15</calculatedColumnFormula>
    </tableColumn>
    <tableColumn id="27" xr3:uid="{09910A02-C822-4038-8164-BBEE2FE54D4C}" name="GPM" totalsRowFunction="sum" dataDxfId="109" totalsRowDxfId="108">
      <calculatedColumnFormula>R12/(500*(U12-T12))</calculatedColumnFormula>
    </tableColumn>
    <tableColumn id="34" xr3:uid="{B72EE98A-8CEF-4902-B958-47985491574F}" name="Heating CFM" dataDxfId="107" totalsRowDxfId="106"/>
    <tableColumn id="54" xr3:uid="{82160631-2223-44E5-8C48-172A132D3676}" name="Mixed Air Heating " dataDxfId="105" totalsRowDxfId="104">
      <calculatedColumnFormula>(FCU_Schedules[[#This Row],[Winter Temp]]*FCU_Schedules[[#This Row],[Outside Air CFM]] + FCU_Schedules[[#This Row],[Return Drybulb]]*(FCU_Schedules[[#This Row],[Heating CFM]]-FCU_Schedules[[#This Row],[Outside Air CFM]]))/FCU_Schedules[[#This Row],[Heating CFM]]</calculatedColumnFormula>
    </tableColumn>
    <tableColumn id="56" xr3:uid="{C702EC0F-471A-4EB2-9EB7-3957133D1E66}" name="Heating LAT" dataDxfId="103" totalsRowDxfId="102"/>
    <tableColumn id="57" xr3:uid="{B4A0FD48-D3B6-4D18-B57A-7791D0AE772F}" name="Heating Sensible Load" totalsRowFunction="sum" dataDxfId="101" totalsRowDxfId="100">
      <calculatedColumnFormula>(FCU_Schedules[[#This Row],[Heating CFM]]*1.08*(FCU_Schedules[[#This Row],[Heating LAT]]-FCU_Schedules[[#This Row],[Mixed Air Heating ]]))/1000</calculatedColumnFormula>
    </tableColumn>
    <tableColumn id="3" xr3:uid="{CB2187FF-94C6-4BF7-9EF3-14BEA52BA79E}" name="HWEWT" dataDxfId="99" totalsRowDxfId="98">
      <calculatedColumnFormula>INPUT_OUTPUTS!$C$16</calculatedColumnFormula>
    </tableColumn>
    <tableColumn id="5" xr3:uid="{989018FB-568D-4937-8D20-2C29E84E7F48}" name="HWLWT" dataDxfId="97" totalsRowDxfId="96">
      <calculatedColumnFormula>INPUT_OUTPUTS!$C$17</calculatedColumnFormula>
    </tableColumn>
    <tableColumn id="60" xr3:uid="{DA35478F-D6FA-4A9B-BB41-39AD26A0E9E1}" name="HW GPM" totalsRowFunction="sum" dataDxfId="95" totalsRowDxfId="94">
      <calculatedColumnFormula>(FCU_Schedules[[#This Row],[Heating Sensible Load]]*1000)/(500*(FCU_Schedules[[#This Row],[HWEWT]]-FCU_Schedules[[#This Row],[HWLWT]]))</calculatedColumnFormula>
    </tableColum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CB438A-F257-430B-AE78-64FFEFF7F487}" name="T24_VENT" displayName="T24_VENT" ref="A1:G77" totalsRowShown="0" headerRowDxfId="93" dataDxfId="92" tableBorderDxfId="91">
  <autoFilter ref="A1:G77" xr:uid="{38CA1BF8-58C5-49DD-91D9-28F4313D1F40}">
    <filterColumn colId="5">
      <filters blank="1"/>
    </filterColumn>
  </autoFilter>
  <tableColumns count="7">
    <tableColumn id="1" xr3:uid="{66871F5A-8736-4369-98BA-C75642AAD9F5}" name="Occupancy Category" dataDxfId="90"/>
    <tableColumn id="2" xr3:uid="{344FD064-9170-43D0-9584-2EE675C2D479}" name="Total Outdoor Air Rate1 Rt (cfm/ft2)" dataDxfId="89"/>
    <tableColumn id="3" xr3:uid="{C06D1194-9520-4906-8792-554BD0D0650A}" name="Min Ventilation Air Rate for DCV2 Ra (cfm/ft2)" dataDxfId="88"/>
    <tableColumn id="4" xr3:uid="{36589519-A735-48FE-AC24-8FA64963D5E6}" name="Air Class" dataDxfId="87"/>
    <tableColumn id="8" xr3:uid="{C1407444-F7DA-46C4-A204-8C14DB74CC2D}" name="OS" dataDxfId="86"/>
    <tableColumn id="5" xr3:uid="{0B33F0CB-43AD-4CE2-8525-147D22599A6A}" name="0.5?" dataDxfId="85"/>
    <tableColumn id="6" xr3:uid="{D59A0D54-F8BC-49BB-8D4A-4C485F419F27}" name="Occupant Density" dataDxfId="84"/>
  </tableColumns>
  <tableStyleInfo name="TableStyleLight1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26BEC-BE23-434F-9CE6-5D203D0FFD95}" name="TITLE24_EXHAUST_TABLE" displayName="TITLE24_EXHAUST_TABLE" ref="I1:M27" totalsRowShown="0" headerRowDxfId="83" dataDxfId="82" headerRowCellStyle="Normal 3" dataCellStyle="Normal 3">
  <autoFilter ref="I1:M27" xr:uid="{C3926BEC-BE23-434F-9CE6-5D203D0FFD95}"/>
  <tableColumns count="5">
    <tableColumn id="1" xr3:uid="{8FAA7420-5330-49B5-8723-95A0AD66D0FF}" name="Occupancy Category" dataDxfId="81" dataCellStyle="Normal 3"/>
    <tableColumn id="2" xr3:uid="{D68EDB16-8E9B-48FB-997C-CD2CEC5FC06A}" name="EXHAUST RATE" dataDxfId="80" dataCellStyle="Normal 3"/>
    <tableColumn id="3" xr3:uid="{FEB39E4A-AE51-4C95-A4EA-086666836237}" name="EXHAUST RATE2" dataDxfId="79" dataCellStyle="Normal 3"/>
    <tableColumn id="4" xr3:uid="{7FAC25A5-B843-48E1-9C59-9B6C5DBE0438}" name="AIR CLASS" dataDxfId="78" dataCellStyle="Normal 3"/>
    <tableColumn id="5" xr3:uid="{3F20BBE5-CB74-49FA-8D5F-1A2C46C09FDC}" name="NOTES" dataDxfId="77" dataCellStyle="Normal 3"/>
  </tableColumns>
  <tableStyleInfo name="TableStyleLight1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5BA8B8-8715-43AE-BC90-D77409CD4392}" name="Ashrae90.1Vent" displayName="Ashrae90.1Vent" ref="A1:G93" totalsRowShown="0" headerRowDxfId="76" dataDxfId="75" dataCellStyle="Normal 2">
  <autoFilter ref="A1:G93" xr:uid="{F45BA8B8-8715-43AE-BC90-D77409CD4392}"/>
  <sortState xmlns:xlrd2="http://schemas.microsoft.com/office/spreadsheetml/2017/richdata2" ref="A2:G93">
    <sortCondition ref="A1:A93"/>
  </sortState>
  <tableColumns count="7">
    <tableColumn id="8" xr3:uid="{657FFBBA-8CBB-41EF-A25F-A9CD4768F24B}" name="Occupancy Category" dataDxfId="74" dataCellStyle="Normal 2"/>
    <tableColumn id="3" xr3:uid="{9733D35C-867E-4C4B-8F2B-E086ECB58CD3}" name="RP" dataDxfId="73" dataCellStyle="Normal 2"/>
    <tableColumn id="4" xr3:uid="{8749CE45-D3E3-463B-A943-59B6B0450B44}" name="RA" dataDxfId="72" dataCellStyle="Normal 2"/>
    <tableColumn id="5" xr3:uid="{CD462116-5E1B-4F25-96C0-8DB927D62FAD}" name="OCCUPANT DENSITY" dataDxfId="71" dataCellStyle="Normal 2"/>
    <tableColumn id="6" xr3:uid="{17ED933E-614D-45F6-B2C6-C5FD970DCCC2}" name="AIR CLASS" dataDxfId="70" dataCellStyle="Normal 2"/>
    <tableColumn id="7" xr3:uid="{8990C0AF-57F2-4ABC-A0E1-FC88BC4B024A}" name="OS" dataDxfId="69" dataCellStyle="Normal 2"/>
    <tableColumn id="10" xr3:uid="{2064FBAE-870A-46AE-9F8C-5F5DF7BCEC22}" name="0.5?" dataDxfId="68" dataCellStyle="Normal 2"/>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C3692C1-EB92-41FB-9444-5DAEF8591757}" name="ASHRAE_EA_Table" displayName="ASHRAE_EA_Table" ref="J1:N37" totalsRowShown="0" headerRowDxfId="67" dataDxfId="66" dataCellStyle="Normal 2">
  <autoFilter ref="J1:N37" xr:uid="{FC3692C1-EB92-41FB-9444-5DAEF8591757}"/>
  <tableColumns count="5">
    <tableColumn id="7" xr3:uid="{CA4FE357-07FF-4EBE-B427-878AF4AE4EB8}" name="Occupancy Category" dataDxfId="65" dataCellStyle="Normal 2"/>
    <tableColumn id="3" xr3:uid="{FF109B0F-3E01-4002-A883-C4CDF4B3E8CA}" name="EXHAUST RATE PER UNIT" dataDxfId="64" dataCellStyle="Normal 2"/>
    <tableColumn id="4" xr3:uid="{9EBCCC92-92E9-4FE1-B17B-CA56536298A4}" name="EXHAUST RATE PER AREA" dataDxfId="63" dataCellStyle="Normal 2"/>
    <tableColumn id="5" xr3:uid="{0075CAEE-1CDF-4D4F-8B21-A29737198283}" name="NOTES" dataDxfId="62" dataCellStyle="Normal 2"/>
    <tableColumn id="6" xr3:uid="{73E3E663-31ED-4991-8F25-4C660DE5C8CC}" name="AIR CLASS " dataDxfId="61" dataCellStyle="Normal 2"/>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60740D-BD9A-4147-86D1-AFABBD69D2E1}" name="Table2" displayName="Table2" ref="Q2:Q13" totalsRowShown="0" headerRowDxfId="60">
  <autoFilter ref="Q2:Q13" xr:uid="{BD60740D-BD9A-4147-86D1-AFABBD69D2E1}"/>
  <tableColumns count="1">
    <tableColumn id="1" xr3:uid="{FDED133C-76E5-4E23-A613-5DC75197CA65}" name="TABLE 6-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BCD89D-5B56-4998-B083-4FCF14F1FA0F}" name="DCV_noEArecovery" displayName="DCV_noEArecovery" ref="T2:W21" totalsRowShown="0">
  <autoFilter ref="T2:W21" xr:uid="{91BCD89D-5B56-4998-B083-4FCF14F1FA0F}"/>
  <sortState xmlns:xlrd2="http://schemas.microsoft.com/office/spreadsheetml/2017/richdata2" ref="T3:W21">
    <sortCondition ref="T2:T21"/>
  </sortState>
  <tableColumns count="4">
    <tableColumn id="1" xr3:uid="{25DCEDBD-0740-46FA-88B9-316FC6DBFAF9}" name="CLIMATE ZONE" dataDxfId="59"/>
    <tableColumn id="2" xr3:uid="{97A7DD64-F42F-409C-9690-E5E6E70CE28A}" name="199"/>
    <tableColumn id="3" xr3:uid="{DD53542A-4392-442F-ABF5-60D6494C4F8A}" name="399"/>
    <tableColumn id="4" xr3:uid="{466F8834-080D-42F7-BDB2-62CB3633E21D}" name="10000"/>
  </tableColumns>
  <tableStyleInfo name="TableStyleLight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C2C087A-08DC-4FD6-B685-146E8BAE6869}" name="DCV_EARecovery" displayName="DCV_EARecovery" ref="Y2:AB21" totalsRowShown="0">
  <autoFilter ref="Y2:AB21" xr:uid="{0C2C087A-08DC-4FD6-B685-146E8BAE6869}"/>
  <tableColumns count="4">
    <tableColumn id="1" xr3:uid="{CD175878-207D-4D5A-ADC1-7D8949DA051F}" name="CLIMATE ZONE" dataDxfId="58"/>
    <tableColumn id="2" xr3:uid="{DF8039F8-66C6-4554-9227-F904C421BA2C}" name="199"/>
    <tableColumn id="3" xr3:uid="{764DE124-FF35-40C0-A23B-F73087130A49}" name="399"/>
    <tableColumn id="4" xr3:uid="{86483C33-12F3-4F39-A88F-7899FC96A997}" name="10000"/>
  </tableColumns>
  <tableStyleInfo name="TableStyleLight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0C5B7-7ED8-1346-9688-BBD6F913E0FF}" name="Code_Table_4a" displayName="Code_Table_4a" ref="A1:J127" totalsRowShown="0" headerRowDxfId="57" tableBorderDxfId="56">
  <autoFilter ref="A1:J127" xr:uid="{4540C5B7-7ED8-1346-9688-BBD6F913E0FF}"/>
  <tableColumns count="10">
    <tableColumn id="1" xr3:uid="{7BF2CBE1-A9FA-634B-9D43-EBA146167592}" name="Area Designation" dataDxfId="55"/>
    <tableColumn id="2" xr3:uid="{1460B4E9-9118-944C-9857-493DDFFE200A}" name="Air Balance Rerationship to Adjacent Areas" dataDxfId="54"/>
    <tableColumn id="3" xr3:uid="{25BE9BDC-FBB0-7A47-894B-42F72D14066C}" name="Minimum Air Changes of Outdoor Air per Hour" dataDxfId="53"/>
    <tableColumn id="4" xr3:uid="{82F49D63-6B08-DA45-8A60-1FF0FD6AC5B9}" name="Minimum Total Air Changes per Hour" dataDxfId="52"/>
    <tableColumn id="5" xr3:uid="{4FDAD794-62F4-8F49-87E5-EA2422234CCC}" name="All Air Exhausted Directly To Outdoors_x000a_(j)" dataDxfId="51"/>
    <tableColumn id="6" xr3:uid="{B9C49FC8-C251-2342-AE20-E81B274FAA4A}" name="Air Recirculated by Means of Room Units (a)" dataDxfId="50"/>
    <tableColumn id="7" xr3:uid="{E57842AF-587D-1D42-B911-B576DF543C66}" name="Design Relative Humidity (k)%" dataDxfId="49"/>
    <tableColumn id="8" xr3:uid="{BE19DA4C-3671-2040-8AE0-8608C571F1B5}" name="MIN Design Temperature(l)" dataDxfId="48"/>
    <tableColumn id="10" xr3:uid="{40B13846-A1DF-B641-AA80-2CDFCA140F33}" name="MAX Design Temperature" dataDxfId="47"/>
    <tableColumn id="9" xr3:uid="{D8B11080-DB40-234A-BEF6-09CC488530B9}" name="Notes" dataDxfId="46"/>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A2ABDE0-272C-4C18-B8D7-3726423FE813}" name="SUPPLY_FAN_POWER" displayName="SUPPLY_FAN_POWER" ref="M1:S28" totalsRowShown="0" headerRowDxfId="45" dataDxfId="44">
  <autoFilter ref="M1:S28" xr:uid="{6A2ABDE0-272C-4C18-B8D7-3726423FE813}"/>
  <tableColumns count="7">
    <tableColumn id="1" xr3:uid="{74B53AC2-8EC1-4C99-AC71-113C2D614FFA}" name="AIRFLOW" dataDxfId="43"/>
    <tableColumn id="2" xr3:uid="{101C8E53-62F3-453B-A601-C59C54618090}" name="MULTI ZONE VAV 5000" dataDxfId="42"/>
    <tableColumn id="3" xr3:uid="{7359AFBC-C223-459E-81A2-0135C886282A}" name="MULTI ZONE VAV 5000 - 10000" dataDxfId="41"/>
    <tableColumn id="4" xr3:uid="{F281E814-9B87-4AC0-9091-7E5878364224}" name="MULTI ZONE VAV 10000" dataDxfId="40"/>
    <tableColumn id="5" xr3:uid="{38E0E10C-FD0B-48C8-9356-6E309F11AB51}" name=" ALL OTHER 5000" dataDxfId="39"/>
    <tableColumn id="6" xr3:uid="{3528601C-1973-4143-9BAE-95853A8954CE}" name="ALL OTHER 5000 - 10000" dataDxfId="38"/>
    <tableColumn id="7" xr3:uid="{730A2A6D-3762-412A-8E36-C68E9C4922B3}" name="ALL OTHER 10000" dataDxfId="37"/>
  </tableColumns>
  <tableStyleInfo name="TableStyleLight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BB3C5-A6DE-4278-9D8D-908C9767EC33}" name="Table4" displayName="Table4" ref="G6:I51" totalsRowShown="0" headerRowDxfId="36">
  <autoFilter ref="G6:I51" xr:uid="{11EBB3C5-A6DE-4278-9D8D-908C9767EC33}"/>
  <tableColumns count="3">
    <tableColumn id="1" xr3:uid="{1BA7BAAD-B345-4E0C-8AA6-2C30414BEBD1}" name="FUNCTION"/>
    <tableColumn id="2" xr3:uid="{97D14912-68A1-48EA-86B0-CCEEA274AD89}" name="EXPANDED " dataDxfId="35"/>
    <tableColumn id="3" xr3:uid="{F093F7DE-6490-47E0-96D2-9341A8E6DF41}" name="DESCRIPTION"/>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2B89C5F-371E-4290-A550-30C8FEB3C9C9}" name="Hydronic_Pipe_Size" displayName="Hydronic_Pipe_Size" ref="B29:D38" totalsRowShown="0" headerRowDxfId="34" dataDxfId="33">
  <autoFilter ref="B29:D38" xr:uid="{32B89C5F-371E-4290-A550-30C8FEB3C9C9}"/>
  <tableColumns count="3">
    <tableColumn id="1" xr3:uid="{1FF568AB-A3F6-4CF9-9C7B-B6D75F955F81}" name="SIZE" dataDxfId="32"/>
    <tableColumn id="2" xr3:uid="{5CA9E73C-3CF4-4228-BD0A-FB3554C1EB40}" name="GPM" dataDxfId="31"/>
    <tableColumn id="3" xr3:uid="{85A2FC97-8109-4AB0-B9DC-3AEB3929A966}" name="SOUND SENSITIVE" dataDxfId="30"/>
  </tableColumns>
  <tableStyleInfo name="TableStyleLight1" showFirstColumn="0" showLastColumn="0" showRowStripes="1" showColumnStripes="0"/>
</table>
</file>

<file path=xl/theme/theme1.xml><?xml version="1.0" encoding="utf-8"?>
<a:theme xmlns:a="http://schemas.openxmlformats.org/drawingml/2006/main" name="Slice">
  <a:themeElements>
    <a:clrScheme name="Slice">
      <a:dk1>
        <a:sysClr val="windowText" lastClr="000000"/>
      </a:dk1>
      <a:lt1>
        <a:sysClr val="window" lastClr="FFFFFF"/>
      </a:lt1>
      <a:dk2>
        <a:srgbClr val="146194"/>
      </a:dk2>
      <a:lt2>
        <a:srgbClr val="76DBF4"/>
      </a:lt2>
      <a:accent1>
        <a:srgbClr val="052F61"/>
      </a:accent1>
      <a:accent2>
        <a:srgbClr val="A50E82"/>
      </a:accent2>
      <a:accent3>
        <a:srgbClr val="14967C"/>
      </a:accent3>
      <a:accent4>
        <a:srgbClr val="6A9E1F"/>
      </a:accent4>
      <a:accent5>
        <a:srgbClr val="E87D37"/>
      </a:accent5>
      <a:accent6>
        <a:srgbClr val="C62324"/>
      </a:accent6>
      <a:hlink>
        <a:srgbClr val="0D2E46"/>
      </a:hlink>
      <a:folHlink>
        <a:srgbClr val="356A95"/>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threadedComments/threadedComment1.xml><?xml version="1.0" encoding="utf-8"?>
<ThreadedComments xmlns="http://schemas.microsoft.com/office/spreadsheetml/2018/threadedcomments" xmlns:x="http://schemas.openxmlformats.org/spreadsheetml/2006/main">
  <threadedComment ref="B5" dT="2023-02-04T00:58:32.97" personId="{9818FCBF-2832-490A-8648-B86041484521}" id="{B37CAC9B-C8DA-454B-8E05-93926FDA1639}">
    <text>Replace this with the actual source</text>
  </threadedComment>
  <threadedComment ref="J9" dT="2024-02-28T03:15:53.60" personId="{9818FCBF-2832-490A-8648-B86041484521}" id="{62952E3A-2DE2-4635-BEFF-E53D7C9BD751}">
    <text>Does not consider the flow</text>
  </threadedComment>
  <threadedComment ref="J10" dT="2024-02-28T03:15:20.35" personId="{9818FCBF-2832-490A-8648-B86041484521}" id="{9499BA8A-1746-4DC5-8A7E-23F12BB01951}">
    <text>Considers the balance flow</text>
  </threadedComment>
  <threadedComment ref="B23" dT="2023-02-04T00:57:56.22" personId="{9818FCBF-2832-490A-8648-B86041484521}" id="{F7D0549E-4995-492F-A550-4FDEA7D3D767}">
    <text>PM to manually select various options. These options will be used in the generate email function.</text>
  </threadedComment>
  <threadedComment ref="B30" dT="2023-02-04T00:57:56.22" personId="{9818FCBF-2832-490A-8648-B86041484521}" id="{82768F90-8BE0-45E1-A71E-9DD40AE9DEE0}">
    <text>PM to manually select various options. These options will be used in the generate email function.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AR3" dT="2023-01-20T02:10:44.44" personId="{4EB4B6F3-1969-DB48-B081-3832009A33BA}" id="{31EAC5C4-25A3-4A67-82D4-B042C37CCEA9}">
    <text xml:space="preserve">This is a manual number added here when the percent outside air needs to be increased. </text>
  </threadedComment>
  <threadedComment ref="B4" dT="2023-01-20T01:58:59.17" personId="{4EB4B6F3-1969-DB48-B081-3832009A33BA}" id="{A66CCCA1-94A6-43AC-922B-E9352551A14B}">
    <text>Import zone from Revit</text>
  </threadedComment>
  <threadedComment ref="D4" dT="2023-01-20T01:59:19.81" personId="{4EB4B6F3-1969-DB48-B081-3832009A33BA}" id="{BF83FFD4-DABD-4405-9220-3AA1B9C49690}">
    <text>Import room from Revit</text>
  </threadedComment>
  <threadedComment ref="E4" dT="2023-01-20T01:59:37.35" personId="{4EB4B6F3-1969-DB48-B081-3832009A33BA}" id="{75E461AD-46C1-4439-9A31-EA1A4EF9D6C2}">
    <text>Import room number from Revit</text>
  </threadedComment>
  <threadedComment ref="F4" dT="2023-01-20T01:59:56.66" personId="{4EB4B6F3-1969-DB48-B081-3832009A33BA}" id="{2FF02F18-3F27-400C-8051-1D6953C7273F}">
    <text>Import Area from Revit</text>
  </threadedComment>
  <threadedComment ref="G4" dT="2023-01-20T02:00:11.73" personId="{4EB4B6F3-1969-DB48-B081-3832009A33BA}" id="{989ED1B4-CAE6-409C-920C-C6CFEEE395A1}">
    <text>Import height from Revit</text>
  </threadedComment>
  <threadedComment ref="AM4" dT="2023-01-20T02:57:22.76" personId="{4EB4B6F3-1969-DB48-B081-3832009A33BA}" id="{3A8A7B81-F443-4A01-8322-316F92C363AC}">
    <text>This is by default equal to the calculated CFM. Go through this cell and make sure the supply CFM is correct. Check the OSA Percentage.</text>
  </threadedComment>
  <threadedComment ref="AN4" dT="2023-01-20T03:00:57.68" personId="{4EB4B6F3-1969-DB48-B081-3832009A33BA}" id="{BCF7DC4E-E914-468D-BDC2-C08877BB67B6}">
    <text>Input this manually depending on the transfer air requirements. Good practice to complete air balance drawing before editing this column.</text>
  </threadedComment>
  <threadedComment ref="AO4" dT="2023-01-20T03:01:25.80" personId="{4EB4B6F3-1969-DB48-B081-3832009A33BA}" id="{7F185DA6-DB3E-4BFB-B34A-655772AA1EE7}">
    <text xml:space="preserve">Usually automatic, but check and edit as necessary. </text>
  </threadedComment>
  <threadedComment ref="AQ4" dT="2023-01-20T02:57:47.98" personId="{4EB4B6F3-1969-DB48-B081-3832009A33BA}" id="{2100AEBD-D5E7-4E2B-86D2-E5575750B200}">
    <text>All cells in this column must be green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A4" dT="2023-01-20T03:02:14.75" personId="{4EB4B6F3-1969-DB48-B081-3832009A33BA}" id="{CEEA40B8-9803-45F9-9590-1EB56958D071}">
    <text>Increase or decrease number of rows in this table to match the number of zones.</text>
  </threadedComment>
</ThreadedComments>
</file>

<file path=xl/threadedComments/threadedComment4.xml><?xml version="1.0" encoding="utf-8"?>
<ThreadedComments xmlns="http://schemas.microsoft.com/office/spreadsheetml/2018/threadedcomments" xmlns:x="http://schemas.openxmlformats.org/spreadsheetml/2006/main">
  <threadedComment ref="F4" dT="2024-02-28T04:55:32.39" personId="{9818FCBF-2832-490A-8648-B86041484521}" id="{27199C55-3452-4671-8D79-D20E622843B0}">
    <text>Positive for positive
Negative value for negative pressurization</text>
  </threadedComment>
  <threadedComment ref="G4" dT="2023-04-25T00:29:13.68" personId="{9818FCBF-2832-490A-8648-B86041484521}" id="{458BC249-2C0F-4CED-8428-99E7DC808FB4}">
    <text>Number of showers / toilets / urinals</text>
  </threadedComment>
  <threadedComment ref="Y4" dT="2023-04-25T00:26:28.36" personId="{9818FCBF-2832-490A-8648-B86041484521}" id="{E8C14B69-530A-4C0A-9DE5-0EB213DD1513}">
    <text>Pick Based on the zone efficiency table in ASHRAE 62.1</text>
  </threadedComment>
  <threadedComment ref="AD18" dT="2024-02-28T04:54:53.71" personId="{9818FCBF-2832-490A-8648-B86041484521}" id="{8A173AA2-571B-4A4E-BB95-85CF6C64371C}">
    <text>Only use this when you plan to have the sequence to support this</text>
  </threadedComment>
</ThreadedComments>
</file>

<file path=xl/threadedComments/threadedComment5.xml><?xml version="1.0" encoding="utf-8"?>
<ThreadedComments xmlns="http://schemas.microsoft.com/office/spreadsheetml/2018/threadedcomments" xmlns:x="http://schemas.openxmlformats.org/spreadsheetml/2006/main">
  <threadedComment ref="F4" dT="2024-02-28T04:55:32.39" personId="{9818FCBF-2832-490A-8648-B86041484521}" id="{F4177687-8E80-4A6B-B057-68A653B66C78}">
    <text>Positive for positive
Negative value for negative pressurization</text>
  </threadedComment>
  <threadedComment ref="G4" dT="2023-04-25T00:29:13.68" personId="{9818FCBF-2832-490A-8648-B86041484521}" id="{4E5A4463-7793-4AC4-A59E-2608060717A3}">
    <text>Number of showers / toilets / urinals</text>
  </threadedComment>
  <threadedComment ref="Y4" dT="2023-04-25T00:26:28.36" personId="{9818FCBF-2832-490A-8648-B86041484521}" id="{6AA7AC04-FAAA-4D66-BDEA-A5CAE99FC69E}">
    <text>Pick Based on the zone efficiency table in ASHRAE 62.1</text>
  </threadedComment>
  <threadedComment ref="AD18" dT="2024-02-28T04:54:53.71" personId="{9818FCBF-2832-490A-8648-B86041484521}" id="{13686920-EDD3-4F99-ACEB-4FD7EA2EE9CE}">
    <text>Only use this when you plan to have the sequence to support this</text>
  </threadedComment>
</ThreadedComments>
</file>

<file path=xl/threadedComments/threadedComment6.xml><?xml version="1.0" encoding="utf-8"?>
<ThreadedComments xmlns="http://schemas.microsoft.com/office/spreadsheetml/2018/threadedcomments" xmlns:x="http://schemas.openxmlformats.org/spreadsheetml/2006/main">
  <threadedComment ref="A4" dT="2023-01-20T03:02:14.75" personId="{4EB4B6F3-1969-DB48-B081-3832009A33BA}" id="{8B74483E-F39A-48BC-9A4F-F2282AE37744}">
    <text>Increase or decrease number of rows in this table to match the number of zones.</text>
  </threadedComment>
</ThreadedComments>
</file>

<file path=xl/threadedComments/threadedComment7.xml><?xml version="1.0" encoding="utf-8"?>
<ThreadedComments xmlns="http://schemas.microsoft.com/office/spreadsheetml/2018/threadedcomments" xmlns:x="http://schemas.openxmlformats.org/spreadsheetml/2006/main">
  <threadedComment ref="AR3" dT="2023-01-20T02:10:44.44" personId="{4EB4B6F3-1969-DB48-B081-3832009A33BA}" id="{0CE903F8-FB5B-49B1-AF84-C405071D3512}">
    <text xml:space="preserve">This is a manual number added here when the percent outside air needs to be increased. </text>
  </threadedComment>
  <threadedComment ref="B4" dT="2023-01-20T01:58:59.17" personId="{4EB4B6F3-1969-DB48-B081-3832009A33BA}" id="{C753EF7A-0755-4AA5-95DD-038DB61B4374}">
    <text>Import zone from Revit</text>
  </threadedComment>
  <threadedComment ref="D4" dT="2023-01-20T01:59:19.81" personId="{4EB4B6F3-1969-DB48-B081-3832009A33BA}" id="{647D52CD-8CA9-481C-B063-492DF012ACE0}">
    <text>Import room from Revit</text>
  </threadedComment>
  <threadedComment ref="E4" dT="2023-01-20T01:59:37.35" personId="{4EB4B6F3-1969-DB48-B081-3832009A33BA}" id="{F4DD8A74-0411-4A29-B1F8-A89F0C55ABD7}">
    <text>Import room number from Revit</text>
  </threadedComment>
  <threadedComment ref="F4" dT="2023-01-20T01:59:56.66" personId="{4EB4B6F3-1969-DB48-B081-3832009A33BA}" id="{6DD44DB8-F8EC-44A7-964A-28281BD57268}">
    <text>Import Area from Revit</text>
  </threadedComment>
  <threadedComment ref="G4" dT="2023-01-20T02:00:11.73" personId="{4EB4B6F3-1969-DB48-B081-3832009A33BA}" id="{066C11FA-B849-4A3C-8553-D3B28C540989}">
    <text>Import height from Revit</text>
  </threadedComment>
  <threadedComment ref="AM4" dT="2023-01-20T02:57:22.76" personId="{4EB4B6F3-1969-DB48-B081-3832009A33BA}" id="{79A93BAD-2DCD-47A2-862D-6F53BFC9271B}">
    <text>This is by default equal to the calculated CFM. Go through this cell and make sure the supply CFM is correct. Check the OSA Percentage.</text>
  </threadedComment>
  <threadedComment ref="AN4" dT="2023-01-20T03:00:57.68" personId="{4EB4B6F3-1969-DB48-B081-3832009A33BA}" id="{D42696BE-B793-4191-A7F2-4FB0AB46C3E9}">
    <text>Input this manually depending on the transfer air requirements. Good practice to complete air balance drawing before editing this column.</text>
  </threadedComment>
  <threadedComment ref="AO4" dT="2023-01-20T03:01:25.80" personId="{4EB4B6F3-1969-DB48-B081-3832009A33BA}" id="{9C0A8A6E-9FC3-4919-976C-B07F3FFE8484}">
    <text xml:space="preserve">Usually automatic, but check and edit as necessary. </text>
  </threadedComment>
  <threadedComment ref="AQ4" dT="2023-01-20T02:57:47.98" personId="{4EB4B6F3-1969-DB48-B081-3832009A33BA}" id="{D7F707AE-1EB3-4E81-9ABF-B77BCEF23F31}">
    <text>All cells in this column must be green</text>
  </threadedComment>
</ThreadedComments>
</file>

<file path=xl/threadedComments/threadedComment8.xml><?xml version="1.0" encoding="utf-8"?>
<ThreadedComments xmlns="http://schemas.microsoft.com/office/spreadsheetml/2018/threadedcomments" xmlns:x="http://schemas.openxmlformats.org/spreadsheetml/2006/main">
  <threadedComment ref="F11" dT="2023-01-20T00:11:27.69" personId="{9818FCBF-2832-490A-8648-B86041484521}" id="{84D71866-A333-4CD0-9197-88E7042E5A29}">
    <text xml:space="preserve">This is desired room temperature. Input based on RFP or ASHRAE. </text>
  </threadedComment>
  <threadedComment ref="G11" dT="2023-01-20T00:11:36.80" personId="{9818FCBF-2832-490A-8648-B86041484521}" id="{437746F2-980E-42E9-9E62-943E879A051B}">
    <text xml:space="preserve">This is desired room temperature. Input based on RFP or ASHRAE. </text>
  </threadedComment>
</ThreadedComments>
</file>

<file path=xl/threadedComments/threadedComment9.xml><?xml version="1.0" encoding="utf-8"?>
<ThreadedComments xmlns="http://schemas.microsoft.com/office/spreadsheetml/2018/threadedcomments" xmlns:x="http://schemas.openxmlformats.org/spreadsheetml/2006/main">
  <threadedComment ref="C4" dT="2024-07-15T21:19:54.79" personId="{9818FCBF-2832-490A-8648-B86041484521}" id="{BD869CD4-096A-456B-9126-20BC0B49DB06}">
    <text>List all applicable Components</text>
  </threadedComment>
  <threadedComment ref="C24" dT="2024-07-15T21:20:15.87" personId="{9818FCBF-2832-490A-8648-B86041484521}" id="{FF9BFD97-92B3-438B-94B7-4D68C71209E1}">
    <text xml:space="preserve">List all applicable components. </text>
  </threadedComment>
</ThreadedComments>
</file>

<file path=xl/threadedComments/threadedComment10.xml><?xml version="1.0" encoding="utf-8"?>
<ThreadedComments xmlns="http://schemas.microsoft.com/office/spreadsheetml/2018/threadedcomments" xmlns:x="http://schemas.openxmlformats.org/spreadsheetml/2006/main">
  <threadedComment ref="E5" dT="2024-03-03T01:38:12.17" personId="{9818FCBF-2832-490A-8648-B86041484521}" id="{6F767A3F-F52C-44D7-9F63-D60A46F3BF41}">
    <text xml:space="preserve">Positive for positive
Negative value for negative pressurization
</text>
  </threadedComment>
  <threadedComment ref="R5" dT="2023-04-05T23:02:22.87" personId="{9818FCBF-2832-490A-8648-B86041484521}" id="{9CA4B69A-D90F-4871-8F75-C811F2AC2E34}">
    <text>Select Value from ASHRAE Table 6-4</text>
  </threadedComment>
</ThreadedComments>
</file>

<file path=xl/threadedComments/threadedComment11.xml><?xml version="1.0" encoding="utf-8"?>
<ThreadedComments xmlns="http://schemas.microsoft.com/office/spreadsheetml/2018/threadedcomments" xmlns:x="http://schemas.openxmlformats.org/spreadsheetml/2006/main">
  <threadedComment ref="E5" dT="2024-06-05T21:51:06.23" personId="{9818FCBF-2832-490A-8648-B86041484521}" id="{FC91BA6C-57B6-4819-85F0-015C508289C5}">
    <text>Get this filled out from Lighting Designer</text>
  </threadedComment>
  <threadedComment ref="F5" dT="2024-03-03T01:38:12.17" personId="{9818FCBF-2832-490A-8648-B86041484521}" id="{64347174-A77D-484A-9321-BDACC44CBE88}">
    <text xml:space="preserve">Positive for positive
Negative value for negative pressurization
</text>
  </threadedComment>
  <threadedComment ref="N5" dT="2024-06-05T20:36:01.61" personId="{9818FCBF-2832-490A-8648-B86041484521}" id="{47597CBB-90BF-4B83-B19F-62F091A4C1F8}">
    <text>https://up.codes/viewer/california/ca-building-code-2022/chapter/10/means-of-egress#1004.5</text>
    <extLst>
      <x:ext xmlns:xltc2="http://schemas.microsoft.com/office/spreadsheetml/2020/threadedcomments2" uri="{F7C98A9C-CBB3-438F-8F68-D28B6AF4A901}">
        <xltc2:checksum>3246042005</xltc2:checksum>
        <xltc2:hyperlink startIndex="0" length="90" url="https://up.codes/viewer/california/ca-building-code-2022/chapter/10/means-of-egress#1004.5"/>
      </x:ext>
    </extLst>
  </threadedComment>
</ThreadedComments>
</file>

<file path=xl/threadedComments/threadedComment12.xml><?xml version="1.0" encoding="utf-8"?>
<ThreadedComments xmlns="http://schemas.microsoft.com/office/spreadsheetml/2018/threadedcomments" xmlns:x="http://schemas.openxmlformats.org/spreadsheetml/2006/main">
  <threadedComment ref="G3" dT="2024-03-03T22:26:18.76" personId="{9818FCBF-2832-490A-8648-B86041484521}" id="{DD884302-B4BA-4FC6-89DE-092D7787DBDD}">
    <text>From EnergyPro</text>
  </threadedComment>
  <threadedComment ref="H3" dT="2024-03-03T22:26:35.82" personId="{9818FCBF-2832-490A-8648-B86041484521}" id="{5D6E878F-F5BC-4DA5-96CC-DC128D97E4A5}">
    <text>From EnergyPro</text>
  </threadedComment>
  <threadedComment ref="B8" dT="2024-03-04T19:40:56.45" personId="{9818FCBF-2832-490A-8648-B86041484521}" id="{2BA79C46-F0D8-4A9F-9005-A0420E2E6802}">
    <text>Only put load once. Either in BTUs or in Watts.</text>
  </threadedComment>
  <threadedComment ref="A9" dT="2024-03-03T22:26:03.96" personId="{9818FCBF-2832-490A-8648-B86041484521}" id="{96319E2C-C317-466B-A8EB-4E7A838AE188}">
    <text>Insert rows and list out all the equipment</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1-20T00:11:27.69" personId="{9818FCBF-2832-490A-8648-B86041484521}" id="{E0601F33-184C-4984-A0E4-F32973E0C3DA}">
    <text xml:space="preserve">This is desired room temperature. Input based on RFP or ASHRAE. </text>
  </threadedComment>
  <threadedComment ref="E11" dT="2023-01-20T00:11:36.80" personId="{9818FCBF-2832-490A-8648-B86041484521}" id="{EFCFC2A7-092A-45A3-9C4B-3C27C4873A04}">
    <text xml:space="preserve">This is desired room temperature. Input based on RFP or ASHRAE.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E31AA9A-4055-470D-9E7B-03948855BD29}">
  <we:reference id="wa104036095" version="1.1.0.0" store="en-US" storeType="OMEX"/>
  <we:alternateReferences>
    <we:reference id="WA104036095" version="1.1.0.0" store="WA10403609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forms.office.com/r/P66hCumLFp"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5.xml"/><Relationship Id="rId5" Type="http://schemas.openxmlformats.org/officeDocument/2006/relationships/table" Target="../tables/table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drawing" Target="../drawings/drawing9.xml"/><Relationship Id="rId7" Type="http://schemas.openxmlformats.org/officeDocument/2006/relationships/comments" Target="../comments7.xml"/><Relationship Id="rId2" Type="http://schemas.openxmlformats.org/officeDocument/2006/relationships/printerSettings" Target="../printerSettings/printerSettings5.bin"/><Relationship Id="rId1" Type="http://schemas.openxmlformats.org/officeDocument/2006/relationships/externalLinkPath" Target="/Users/rush/Downloads/Revamped%20AHU%20Psych%20Calcs%20(1).xlsm" TargetMode="External"/><Relationship Id="rId6" Type="http://schemas.openxmlformats.org/officeDocument/2006/relationships/table" Target="../tables/table11.xml"/><Relationship Id="rId5" Type="http://schemas.openxmlformats.org/officeDocument/2006/relationships/ctrlProp" Target="../ctrlProps/ctrlProp10.xm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10.vml"/><Relationship Id="rId1" Type="http://schemas.openxmlformats.org/officeDocument/2006/relationships/printerSettings" Target="../printerSettings/printerSettings6.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vmlDrawing" Target="../drawings/vmlDrawing11.vml"/><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2.vml"/><Relationship Id="rId1" Type="http://schemas.openxmlformats.org/officeDocument/2006/relationships/drawing" Target="../drawings/drawing10.xml"/><Relationship Id="rId6" Type="http://schemas.microsoft.com/office/2017/10/relationships/threadedComment" Target="../threadedComments/threadedComment10.xml"/><Relationship Id="rId5" Type="http://schemas.openxmlformats.org/officeDocument/2006/relationships/comments" Target="../comments10.xml"/><Relationship Id="rId4" Type="http://schemas.openxmlformats.org/officeDocument/2006/relationships/table" Target="../tables/table1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7" Type="http://schemas.microsoft.com/office/2017/10/relationships/threadedComment" Target="../threadedComments/threadedComment11.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omments" Target="../comments11.xml"/><Relationship Id="rId5" Type="http://schemas.openxmlformats.org/officeDocument/2006/relationships/table" Target="../tables/table19.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vmlDrawing" Target="../drawings/vmlDrawing14.vml"/><Relationship Id="rId7" Type="http://schemas.openxmlformats.org/officeDocument/2006/relationships/comments" Target="../comments12.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3.xml"/><Relationship Id="rId5" Type="http://schemas.openxmlformats.org/officeDocument/2006/relationships/table" Target="../tables/table22.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15.vml"/><Relationship Id="rId1" Type="http://schemas.openxmlformats.org/officeDocument/2006/relationships/printerSettings" Target="../printerSettings/printerSettings11.bin"/><Relationship Id="rId5" Type="http://schemas.microsoft.com/office/2017/10/relationships/threadedComment" Target="../threadedComments/threadedComment13.xml"/><Relationship Id="rId4" Type="http://schemas.openxmlformats.org/officeDocument/2006/relationships/comments" Target="../comments1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12.bin"/><Relationship Id="rId6" Type="http://schemas.openxmlformats.org/officeDocument/2006/relationships/table" Target="../tables/table31.xml"/><Relationship Id="rId5" Type="http://schemas.openxmlformats.org/officeDocument/2006/relationships/table" Target="../tables/table30.xml"/><Relationship Id="rId4"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hyperlink" Target="https://up.codes/viewer/california/ca-mechanical-code-2022/chapter/2/definitions" TargetMode="External"/><Relationship Id="rId7" Type="http://schemas.openxmlformats.org/officeDocument/2006/relationships/table" Target="../tables/table32.xml"/><Relationship Id="rId2" Type="http://schemas.openxmlformats.org/officeDocument/2006/relationships/hyperlink" Target="https://up.codes/viewer/california/ca-mechanical-code-2022/chapter/2/definitions" TargetMode="External"/><Relationship Id="rId1" Type="http://schemas.openxmlformats.org/officeDocument/2006/relationships/hyperlink" Target="https://up.codes/viewer/california/ca-mechanical-code-2022/chapter/2/definitions" TargetMode="External"/><Relationship Id="rId6" Type="http://schemas.openxmlformats.org/officeDocument/2006/relationships/printerSettings" Target="../printerSettings/printerSettings13.bin"/><Relationship Id="rId5" Type="http://schemas.openxmlformats.org/officeDocument/2006/relationships/hyperlink" Target="https://up.codes/viewer/california/ca-mechanical-code-2022/chapter/2/definitions" TargetMode="External"/><Relationship Id="rId4" Type="http://schemas.openxmlformats.org/officeDocument/2006/relationships/hyperlink" Target="https://up.codes/viewer/california/ca-mechanical-code-2022/chapter/2/definitions" TargetMode="External"/></Relationships>
</file>

<file path=xl/worksheets/_rels/sheet24.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367C2-79D8-4E67-B88D-E083BDDFFB8C}">
  <sheetPr codeName="Sheet10">
    <tabColor theme="2"/>
  </sheetPr>
  <dimension ref="B2:AE32"/>
  <sheetViews>
    <sheetView showGridLines="0" zoomScaleNormal="100" workbookViewId="0">
      <selection activeCell="H31" sqref="H31"/>
    </sheetView>
  </sheetViews>
  <sheetFormatPr defaultColWidth="8.88671875" defaultRowHeight="13.2"/>
  <cols>
    <col min="1" max="1" width="3.88671875" customWidth="1"/>
    <col min="2" max="2" width="17" customWidth="1"/>
    <col min="3" max="3" width="11.44140625" customWidth="1"/>
    <col min="4" max="4" width="21" customWidth="1"/>
    <col min="5" max="5" width="12.6640625" customWidth="1"/>
    <col min="6" max="6" width="9.6640625" customWidth="1"/>
    <col min="7" max="7" width="11.44140625" customWidth="1"/>
    <col min="8" max="8" width="11" customWidth="1"/>
    <col min="9" max="9" width="9.44140625" customWidth="1"/>
    <col min="10" max="10" width="14.6640625" bestFit="1" customWidth="1"/>
    <col min="11" max="11" width="6.44140625" bestFit="1" customWidth="1"/>
    <col min="12" max="12" width="17.21875" customWidth="1"/>
    <col min="13" max="14" width="9.44140625" customWidth="1"/>
    <col min="15" max="16" width="10.44140625" customWidth="1"/>
    <col min="17" max="17" width="13.44140625" bestFit="1" customWidth="1"/>
    <col min="18" max="18" width="11.5546875" bestFit="1" customWidth="1"/>
    <col min="19" max="19" width="10.33203125" customWidth="1"/>
    <col min="20" max="20" width="9.44140625" bestFit="1" customWidth="1"/>
    <col min="22" max="22" width="8.88671875" customWidth="1"/>
    <col min="23" max="23" width="16.44140625" customWidth="1"/>
    <col min="24" max="24" width="8.88671875" customWidth="1"/>
    <col min="25" max="25" width="10.44140625" bestFit="1" customWidth="1"/>
    <col min="26" max="31" width="8.88671875" hidden="1" customWidth="1"/>
    <col min="32" max="32" width="0" hidden="1" customWidth="1"/>
  </cols>
  <sheetData>
    <row r="2" spans="2:29">
      <c r="B2" s="28" t="s">
        <v>105</v>
      </c>
      <c r="C2" s="482" t="s">
        <v>106</v>
      </c>
      <c r="D2" s="483"/>
      <c r="E2" s="28" t="s">
        <v>107</v>
      </c>
      <c r="F2" s="484"/>
      <c r="G2" s="483"/>
    </row>
    <row r="3" spans="2:29">
      <c r="B3" s="11"/>
      <c r="C3" s="27"/>
      <c r="D3" s="27"/>
      <c r="Z3" s="11" t="b">
        <v>1</v>
      </c>
      <c r="AA3" s="11" t="s">
        <v>109</v>
      </c>
      <c r="AB3" s="11" t="s">
        <v>110</v>
      </c>
      <c r="AC3" s="11" t="s">
        <v>111</v>
      </c>
    </row>
    <row r="4" spans="2:29">
      <c r="B4" s="485" t="s">
        <v>112</v>
      </c>
      <c r="C4" s="486"/>
      <c r="D4" s="486"/>
      <c r="E4" s="486"/>
      <c r="F4" s="486"/>
      <c r="G4" s="487"/>
      <c r="J4" s="488" t="s">
        <v>113</v>
      </c>
      <c r="K4" s="488"/>
      <c r="L4" s="488"/>
      <c r="Z4" s="11" t="b">
        <v>0</v>
      </c>
      <c r="AA4" s="11" t="s">
        <v>114</v>
      </c>
      <c r="AB4" s="11" t="s">
        <v>115</v>
      </c>
      <c r="AC4" s="11" t="s">
        <v>116</v>
      </c>
    </row>
    <row r="5" spans="2:29">
      <c r="B5" s="489" t="s">
        <v>117</v>
      </c>
      <c r="C5" s="489"/>
      <c r="D5" s="489"/>
      <c r="E5" s="489"/>
      <c r="F5" s="489"/>
      <c r="G5" s="489"/>
      <c r="S5" s="11"/>
      <c r="AA5" s="11" t="s">
        <v>118</v>
      </c>
      <c r="AB5" s="11" t="s">
        <v>119</v>
      </c>
    </row>
    <row r="6" spans="2:29">
      <c r="B6" s="116" t="s">
        <v>120</v>
      </c>
      <c r="C6" s="283">
        <v>7</v>
      </c>
      <c r="D6" s="3"/>
      <c r="E6" s="492" t="s">
        <v>122</v>
      </c>
      <c r="F6" s="493"/>
      <c r="G6" s="117">
        <v>1165</v>
      </c>
      <c r="J6" s="478" t="s">
        <v>123</v>
      </c>
      <c r="K6" s="479"/>
      <c r="L6" s="480"/>
      <c r="S6" s="11"/>
      <c r="AB6" s="11" t="s">
        <v>124</v>
      </c>
    </row>
    <row r="7" spans="2:29">
      <c r="B7" s="488" t="s">
        <v>125</v>
      </c>
      <c r="C7" s="488"/>
      <c r="D7" s="488"/>
      <c r="E7" s="488" t="s">
        <v>126</v>
      </c>
      <c r="F7" s="488"/>
      <c r="G7" s="488"/>
      <c r="J7" s="24" t="s">
        <v>127</v>
      </c>
      <c r="K7" s="25"/>
      <c r="L7" s="26" t="s">
        <v>128</v>
      </c>
      <c r="AB7" s="11" t="s">
        <v>129</v>
      </c>
    </row>
    <row r="8" spans="2:29">
      <c r="B8" s="490" t="s">
        <v>130</v>
      </c>
      <c r="C8" s="117">
        <v>90</v>
      </c>
      <c r="D8" s="116" t="s">
        <v>131</v>
      </c>
      <c r="E8" s="490" t="s">
        <v>132</v>
      </c>
      <c r="F8" s="473">
        <v>26</v>
      </c>
      <c r="G8" s="490" t="s">
        <v>133</v>
      </c>
      <c r="J8" s="24" t="s">
        <v>134</v>
      </c>
      <c r="K8" s="25"/>
      <c r="L8" s="26" t="s">
        <v>135</v>
      </c>
      <c r="AB8" s="11" t="s">
        <v>136</v>
      </c>
    </row>
    <row r="9" spans="2:29">
      <c r="B9" s="490"/>
      <c r="C9" s="117">
        <v>65</v>
      </c>
      <c r="D9" s="116" t="s">
        <v>137</v>
      </c>
      <c r="E9" s="490"/>
      <c r="F9" s="474"/>
      <c r="G9" s="490"/>
      <c r="J9" s="24" t="s">
        <v>141</v>
      </c>
      <c r="K9" s="25"/>
      <c r="L9" s="26" t="s">
        <v>142</v>
      </c>
      <c r="N9" s="11" t="s">
        <v>2708</v>
      </c>
      <c r="P9" s="468" t="s">
        <v>2710</v>
      </c>
      <c r="AB9" s="11" t="s">
        <v>138</v>
      </c>
    </row>
    <row r="10" spans="2:29">
      <c r="B10" s="490" t="s">
        <v>139</v>
      </c>
      <c r="C10" s="118">
        <v>80</v>
      </c>
      <c r="D10" s="116" t="s">
        <v>133</v>
      </c>
      <c r="E10" s="490" t="s">
        <v>140</v>
      </c>
      <c r="F10" s="117"/>
      <c r="G10" s="116" t="s">
        <v>133</v>
      </c>
      <c r="J10" s="24" t="s">
        <v>144</v>
      </c>
      <c r="K10" s="25"/>
      <c r="L10" s="26" t="s">
        <v>135</v>
      </c>
    </row>
    <row r="11" spans="2:29">
      <c r="B11" s="490"/>
      <c r="C11" s="118">
        <v>75</v>
      </c>
      <c r="D11" s="116" t="s">
        <v>137</v>
      </c>
      <c r="E11" s="490"/>
      <c r="F11" s="117"/>
      <c r="G11" s="116" t="s">
        <v>143</v>
      </c>
    </row>
    <row r="12" spans="2:29">
      <c r="B12" s="2"/>
      <c r="D12" s="3"/>
      <c r="E12" s="3"/>
      <c r="J12" s="376" t="s">
        <v>1079</v>
      </c>
      <c r="K12" s="491" cm="1">
        <f t="array" ref="K12">GetDryAirDensity(75,GetStandardAtmPressure(G6))*0.24*60</f>
        <v>1.0241107860349117</v>
      </c>
      <c r="L12" s="491"/>
    </row>
    <row r="13" spans="2:29">
      <c r="B13" s="488" t="s">
        <v>145</v>
      </c>
      <c r="C13" s="488"/>
      <c r="D13" s="488"/>
      <c r="J13" s="377" t="s">
        <v>1080</v>
      </c>
      <c r="K13" s="481" cm="1">
        <f t="array" ref="K13">GetDryAirDensity(75,GetStandardAtmPressure(G6))*60</f>
        <v>4.267128275145466</v>
      </c>
      <c r="L13" s="481"/>
    </row>
    <row r="14" spans="2:29">
      <c r="B14" s="119" t="s">
        <v>146</v>
      </c>
      <c r="C14" s="118">
        <v>42</v>
      </c>
      <c r="D14" s="116" t="s">
        <v>147</v>
      </c>
      <c r="J14" s="377" t="s">
        <v>1081</v>
      </c>
      <c r="K14" s="481"/>
      <c r="L14" s="481"/>
    </row>
    <row r="15" spans="2:29">
      <c r="B15" s="119" t="s">
        <v>148</v>
      </c>
      <c r="C15" s="118">
        <v>56</v>
      </c>
      <c r="D15" s="116" t="s">
        <v>147</v>
      </c>
    </row>
    <row r="16" spans="2:29">
      <c r="B16" s="119" t="s">
        <v>149</v>
      </c>
      <c r="C16" s="118">
        <v>140</v>
      </c>
      <c r="D16" s="116" t="s">
        <v>147</v>
      </c>
    </row>
    <row r="17" spans="2:25">
      <c r="B17" s="119" t="s">
        <v>150</v>
      </c>
      <c r="C17" s="118">
        <v>110</v>
      </c>
      <c r="D17" s="116" t="s">
        <v>147</v>
      </c>
    </row>
    <row r="18" spans="2:25">
      <c r="B18" s="119" t="s">
        <v>151</v>
      </c>
      <c r="C18" s="120">
        <v>1</v>
      </c>
      <c r="D18" s="116" t="s">
        <v>152</v>
      </c>
    </row>
    <row r="19" spans="2:25">
      <c r="B19" s="119" t="s">
        <v>153</v>
      </c>
      <c r="C19" s="120"/>
      <c r="D19" s="116" t="s">
        <v>154</v>
      </c>
      <c r="H19" s="16"/>
      <c r="I19" s="16"/>
      <c r="J19" s="16"/>
      <c r="K19" s="16"/>
      <c r="L19" s="16"/>
    </row>
    <row r="20" spans="2:25" ht="13.8">
      <c r="B20" s="119" t="s">
        <v>789</v>
      </c>
      <c r="C20" s="120">
        <v>0.3</v>
      </c>
      <c r="D20" s="116" t="s">
        <v>152</v>
      </c>
      <c r="H20" s="16"/>
      <c r="I20" s="16"/>
      <c r="J20" s="477" t="s">
        <v>155</v>
      </c>
      <c r="K20" s="477"/>
      <c r="L20" s="16"/>
    </row>
    <row r="21" spans="2:25">
      <c r="H21" s="16"/>
      <c r="I21" s="16"/>
      <c r="J21" s="16"/>
      <c r="K21" s="16"/>
      <c r="L21" s="16"/>
    </row>
    <row r="23" spans="2:25">
      <c r="B23" s="475" t="s">
        <v>156</v>
      </c>
      <c r="C23" s="475"/>
      <c r="D23" s="475"/>
      <c r="E23" s="475"/>
      <c r="F23" s="475"/>
      <c r="G23" s="475"/>
      <c r="H23" s="475"/>
      <c r="I23" s="475"/>
      <c r="J23" s="475"/>
      <c r="K23" s="475"/>
      <c r="L23" s="475"/>
      <c r="M23" s="475"/>
      <c r="N23" s="475"/>
      <c r="O23" s="475"/>
      <c r="P23" s="475"/>
      <c r="Q23" s="475"/>
      <c r="R23" s="475"/>
      <c r="S23" s="475"/>
      <c r="T23" s="475"/>
      <c r="U23" s="475"/>
      <c r="V23" s="475"/>
      <c r="W23" s="475"/>
      <c r="X23" s="475"/>
      <c r="Y23" s="475"/>
    </row>
    <row r="24" spans="2:25">
      <c r="B24" s="16"/>
      <c r="C24" s="16"/>
      <c r="D24" s="16"/>
      <c r="E24" s="16"/>
      <c r="F24" s="16"/>
      <c r="G24" s="16"/>
      <c r="H24" s="16"/>
      <c r="I24" s="16"/>
      <c r="J24" s="16"/>
      <c r="K24" s="16"/>
      <c r="L24" s="16"/>
      <c r="M24" s="16"/>
      <c r="N24" s="16"/>
      <c r="O24" s="16"/>
      <c r="P24" s="16"/>
      <c r="Q24" s="16"/>
      <c r="R24" s="16"/>
      <c r="S24" s="16"/>
      <c r="T24" s="16"/>
    </row>
    <row r="25" spans="2:25" ht="20.399999999999999">
      <c r="B25" s="32" t="s">
        <v>157</v>
      </c>
      <c r="C25" s="30" t="s">
        <v>158</v>
      </c>
      <c r="D25" s="30" t="s">
        <v>159</v>
      </c>
      <c r="E25" s="30" t="s">
        <v>160</v>
      </c>
      <c r="F25" s="30" t="s">
        <v>161</v>
      </c>
      <c r="G25" s="30" t="s">
        <v>162</v>
      </c>
      <c r="H25" s="30" t="s">
        <v>163</v>
      </c>
      <c r="I25" s="30" t="s">
        <v>164</v>
      </c>
      <c r="J25" s="30" t="s">
        <v>165</v>
      </c>
      <c r="K25" s="30" t="s">
        <v>166</v>
      </c>
      <c r="L25" s="30" t="s">
        <v>167</v>
      </c>
      <c r="M25" s="30" t="s">
        <v>168</v>
      </c>
      <c r="N25" s="30" t="s">
        <v>169</v>
      </c>
      <c r="O25" s="30" t="s">
        <v>170</v>
      </c>
      <c r="P25" s="30" t="s">
        <v>171</v>
      </c>
      <c r="Q25" s="30" t="s">
        <v>172</v>
      </c>
      <c r="R25" s="30" t="s">
        <v>173</v>
      </c>
      <c r="S25" s="30" t="s">
        <v>174</v>
      </c>
      <c r="T25" s="31" t="s">
        <v>175</v>
      </c>
      <c r="U25" s="31" t="s">
        <v>881</v>
      </c>
      <c r="V25" s="30" t="s">
        <v>729</v>
      </c>
      <c r="W25" s="30" t="s">
        <v>882</v>
      </c>
      <c r="X25" s="30" t="s">
        <v>883</v>
      </c>
      <c r="Y25" s="30" t="s">
        <v>884</v>
      </c>
    </row>
    <row r="26" spans="2:25">
      <c r="B26" s="277" t="s">
        <v>2714</v>
      </c>
      <c r="C26" s="278"/>
      <c r="D26" s="278"/>
      <c r="E26" s="279" t="b">
        <v>0</v>
      </c>
      <c r="F26" s="278" t="b">
        <v>0</v>
      </c>
      <c r="G26" s="279" t="b">
        <v>0</v>
      </c>
      <c r="H26" s="279" t="b">
        <v>0</v>
      </c>
      <c r="I26" s="279" t="b">
        <v>0</v>
      </c>
      <c r="J26" s="279" t="b">
        <v>0</v>
      </c>
      <c r="K26" s="279" t="b">
        <v>0</v>
      </c>
      <c r="L26" s="279" t="b">
        <v>0</v>
      </c>
      <c r="M26" s="279" t="b">
        <v>0</v>
      </c>
      <c r="N26" s="279" t="b">
        <v>0</v>
      </c>
      <c r="O26" s="279" t="b">
        <v>0</v>
      </c>
      <c r="P26" s="279"/>
      <c r="Q26" s="279"/>
      <c r="R26" s="279" t="b">
        <v>0</v>
      </c>
      <c r="S26" s="279" t="b">
        <v>0</v>
      </c>
      <c r="T26" s="280" t="b">
        <v>0</v>
      </c>
      <c r="U26" s="280" t="s">
        <v>960</v>
      </c>
      <c r="V26" s="281" t="s">
        <v>2701</v>
      </c>
      <c r="W26" s="281"/>
      <c r="X26" s="281" t="b">
        <v>0</v>
      </c>
      <c r="Y26" s="281" t="b">
        <v>0</v>
      </c>
    </row>
    <row r="30" spans="2:25">
      <c r="B30" s="476" t="s">
        <v>753</v>
      </c>
      <c r="C30" s="476"/>
      <c r="D30" s="476"/>
      <c r="E30" s="476"/>
      <c r="F30" s="307"/>
      <c r="G30" s="307"/>
      <c r="H30" s="307"/>
      <c r="I30" s="307"/>
      <c r="J30" s="307"/>
      <c r="K30" s="307"/>
      <c r="L30" s="307"/>
      <c r="M30" s="307"/>
      <c r="N30" s="307"/>
      <c r="O30" s="307"/>
      <c r="P30" s="307"/>
      <c r="Q30" s="307"/>
      <c r="R30" s="307"/>
      <c r="S30" s="307"/>
      <c r="T30" s="307"/>
      <c r="U30" s="307"/>
    </row>
    <row r="31" spans="2:25">
      <c r="B31" s="306" t="s">
        <v>750</v>
      </c>
      <c r="C31" s="306" t="s">
        <v>784</v>
      </c>
      <c r="D31" s="306" t="s">
        <v>751</v>
      </c>
      <c r="E31" s="306" t="s">
        <v>752</v>
      </c>
    </row>
    <row r="32" spans="2:25">
      <c r="B32" s="336"/>
      <c r="C32" s="336"/>
      <c r="D32" s="336"/>
      <c r="E32" s="336"/>
    </row>
  </sheetData>
  <mergeCells count="22">
    <mergeCell ref="C2:D2"/>
    <mergeCell ref="F2:G2"/>
    <mergeCell ref="B4:G4"/>
    <mergeCell ref="B13:D13"/>
    <mergeCell ref="J4:L4"/>
    <mergeCell ref="B5:G5"/>
    <mergeCell ref="E7:G7"/>
    <mergeCell ref="B10:B11"/>
    <mergeCell ref="B7:D7"/>
    <mergeCell ref="B8:B9"/>
    <mergeCell ref="G8:G9"/>
    <mergeCell ref="E8:E9"/>
    <mergeCell ref="K12:L12"/>
    <mergeCell ref="K13:L13"/>
    <mergeCell ref="E6:F6"/>
    <mergeCell ref="E10:E11"/>
    <mergeCell ref="F8:F9"/>
    <mergeCell ref="B23:Y23"/>
    <mergeCell ref="B30:E30"/>
    <mergeCell ref="J20:K20"/>
    <mergeCell ref="J6:L6"/>
    <mergeCell ref="K14:L14"/>
  </mergeCells>
  <phoneticPr fontId="13" type="noConversion"/>
  <dataValidations disablePrompts="1" count="7">
    <dataValidation type="decimal" operator="lessThanOrEqual" allowBlank="1" showInputMessage="1" showErrorMessage="1" sqref="C8:C11 F8:F11" xr:uid="{B46BD661-27D5-EA4A-98D9-A97E7ED39DFB}">
      <formula1>600</formula1>
    </dataValidation>
    <dataValidation type="whole" operator="lessThanOrEqual" allowBlank="1" showInputMessage="1" showErrorMessage="1" sqref="C14:C17" xr:uid="{74E3A6C0-DA95-3548-BE04-1A70A06AA0B7}">
      <formula1>600</formula1>
    </dataValidation>
    <dataValidation type="whole" operator="greaterThan" allowBlank="1" showInputMessage="1" showErrorMessage="1" sqref="G6" xr:uid="{0EEAE432-7AE5-4E19-99A0-476DD6038212}">
      <formula1>-1</formula1>
    </dataValidation>
    <dataValidation type="list" allowBlank="1" showInputMessage="1" showErrorMessage="1" sqref="E26:O26 R26:T26" xr:uid="{57127854-0033-9F43-9FDF-126419A3E943}">
      <formula1>$Z$3:$Z$4</formula1>
    </dataValidation>
    <dataValidation type="list" allowBlank="1" showInputMessage="1" showErrorMessage="1" sqref="C26:D26" xr:uid="{752016F0-3485-7D46-A297-38E9578FC1FD}">
      <formula1>$AA$3:$AA$5</formula1>
    </dataValidation>
    <dataValidation type="list" allowBlank="1" showInputMessage="1" showErrorMessage="1" sqref="P26" xr:uid="{69929419-8A96-0A4C-BC33-A3DDB95DC281}">
      <formula1>$AB$3:$AB$6</formula1>
    </dataValidation>
    <dataValidation type="list" allowBlank="1" showInputMessage="1" showErrorMessage="1" sqref="Q26" xr:uid="{7B4C686C-BBBC-D948-B85E-80E76ED94999}">
      <formula1>$AB$7:$AB$9</formula1>
    </dataValidation>
  </dataValidations>
  <hyperlinks>
    <hyperlink ref="J20" r:id="rId1" display="SURVEY" xr:uid="{85CD794C-812E-4F58-88D3-ACECA4BCAFD1}"/>
  </hyperlinks>
  <pageMargins left="0.7" right="0.7" top="0.75" bottom="0.75" header="0.3" footer="0.3"/>
  <pageSetup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5383" r:id="rId5" name="Button 23">
              <controlPr defaultSize="0" print="0" autoFill="0" autoPict="0" macro="[0]!AddAHU" altText="HUMIDIFICATION">
                <anchor moveWithCells="1" sizeWithCells="1">
                  <from>
                    <xdr:col>12</xdr:col>
                    <xdr:colOff>426720</xdr:colOff>
                    <xdr:row>2</xdr:row>
                    <xdr:rowOff>114300</xdr:rowOff>
                  </from>
                  <to>
                    <xdr:col>14</xdr:col>
                    <xdr:colOff>457200</xdr:colOff>
                    <xdr:row>5</xdr:row>
                    <xdr:rowOff>0</xdr:rowOff>
                  </to>
                </anchor>
              </controlPr>
            </control>
          </mc:Choice>
        </mc:AlternateContent>
        <mc:AlternateContent xmlns:mc="http://schemas.openxmlformats.org/markup-compatibility/2006">
          <mc:Choice Requires="x14">
            <control shapeId="15384" r:id="rId6" name="Button 24">
              <controlPr defaultSize="0" print="0" autoFill="0" autoPict="0" macro="[0]!ADDFCUMAIN" altText="HUMIDIFICATION">
                <anchor moveWithCells="1" sizeWithCells="1">
                  <from>
                    <xdr:col>14</xdr:col>
                    <xdr:colOff>571500</xdr:colOff>
                    <xdr:row>2</xdr:row>
                    <xdr:rowOff>121920</xdr:rowOff>
                  </from>
                  <to>
                    <xdr:col>16</xdr:col>
                    <xdr:colOff>472440</xdr:colOff>
                    <xdr:row>5</xdr:row>
                    <xdr:rowOff>15240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4712E79-1CC0-4B34-AE6D-AA6447E4CFD4}">
          <x14:formula1>
            <xm:f>'ASHRAE Table'!$T$3:$T$21</xm:f>
          </x14:formula1>
          <xm:sqref>C6</xm:sqref>
        </x14:dataValidation>
        <x14:dataValidation type="list" allowBlank="1" showInputMessage="1" showErrorMessage="1" xr:uid="{BECBFF92-4804-4784-9199-C34C158BB18C}">
          <x14:formula1>
            <xm:f>'DO NOT TOUCH'!$F$22:$F$23</xm:f>
          </x14:formula1>
          <xm:sqref>P9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7EB6A-574D-403E-81B0-C5F32FE8FEC2}">
  <sheetPr codeName="Sheet4"/>
  <dimension ref="A4:J5"/>
  <sheetViews>
    <sheetView workbookViewId="0">
      <selection activeCell="I17" sqref="I17"/>
    </sheetView>
  </sheetViews>
  <sheetFormatPr defaultRowHeight="13.2"/>
  <cols>
    <col min="1" max="1" width="6.44140625" bestFit="1" customWidth="1"/>
    <col min="2" max="2" width="7.109375" bestFit="1" customWidth="1"/>
    <col min="3" max="3" width="10.21875" bestFit="1" customWidth="1"/>
    <col min="4" max="4" width="10.77734375" bestFit="1" customWidth="1"/>
    <col min="5" max="5" width="9.88671875" bestFit="1" customWidth="1"/>
    <col min="6" max="6" width="10.44140625" bestFit="1" customWidth="1"/>
    <col min="7" max="7" width="10.21875" bestFit="1" customWidth="1"/>
    <col min="8" max="8" width="10.77734375" bestFit="1" customWidth="1"/>
    <col min="9" max="9" width="8.21875" bestFit="1" customWidth="1"/>
    <col min="10" max="10" width="18" bestFit="1" customWidth="1"/>
  </cols>
  <sheetData>
    <row r="4" spans="1:10">
      <c r="C4" s="494" t="s">
        <v>798</v>
      </c>
      <c r="D4" s="494"/>
      <c r="E4" s="494"/>
      <c r="F4" s="494"/>
      <c r="G4" s="494"/>
      <c r="H4" s="494"/>
    </row>
    <row r="5" spans="1:10">
      <c r="A5" t="s">
        <v>791</v>
      </c>
      <c r="B5" t="s">
        <v>49</v>
      </c>
      <c r="C5" t="s">
        <v>794</v>
      </c>
      <c r="D5" t="s">
        <v>795</v>
      </c>
      <c r="E5" t="s">
        <v>792</v>
      </c>
      <c r="F5" t="s">
        <v>793</v>
      </c>
      <c r="G5" t="s">
        <v>796</v>
      </c>
      <c r="H5" t="s">
        <v>797</v>
      </c>
      <c r="I5" t="s">
        <v>799</v>
      </c>
      <c r="J5" t="s">
        <v>800</v>
      </c>
    </row>
  </sheetData>
  <mergeCells count="1">
    <mergeCell ref="C4:H4"/>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0EF80-512B-4FB0-B0D3-86BAFF8103BA}">
  <sheetPr codeName="Sheet12">
    <tabColor rgb="FFFFFF00"/>
    <pageSetUpPr fitToPage="1"/>
  </sheetPr>
  <dimension ref="A2:BK102"/>
  <sheetViews>
    <sheetView showGridLines="0" zoomScale="80" zoomScaleNormal="70" zoomScaleSheetLayoutView="50" zoomScalePageLayoutView="80" workbookViewId="0">
      <pane xSplit="8" ySplit="4" topLeftCell="AF5" activePane="bottomRight" state="frozen"/>
      <selection pane="topRight" activeCell="H1" sqref="H1"/>
      <selection pane="bottomLeft" activeCell="A3" sqref="A3"/>
      <selection pane="bottomRight" activeCell="AN6" sqref="AN6"/>
    </sheetView>
  </sheetViews>
  <sheetFormatPr defaultColWidth="8.88671875" defaultRowHeight="15"/>
  <cols>
    <col min="1" max="1" width="2.88671875" style="33" customWidth="1"/>
    <col min="2" max="3" width="12.6640625" style="33" customWidth="1"/>
    <col min="4" max="4" width="9.88671875" style="34" bestFit="1" customWidth="1"/>
    <col min="5" max="5" width="14" style="35" bestFit="1" customWidth="1"/>
    <col min="6" max="6" width="16" style="34" bestFit="1" customWidth="1"/>
    <col min="7" max="7" width="9.88671875" style="34" bestFit="1" customWidth="1"/>
    <col min="8" max="8" width="12.6640625" style="33" customWidth="1"/>
    <col min="9" max="9" width="20.6640625" style="36" bestFit="1" customWidth="1"/>
    <col min="10" max="10" width="42.109375" style="36" bestFit="1" customWidth="1"/>
    <col min="11" max="11" width="28.88671875" style="36" bestFit="1" customWidth="1"/>
    <col min="12" max="12" width="27.77734375" style="33" bestFit="1" customWidth="1"/>
    <col min="13" max="13" width="34.88671875" style="33" bestFit="1" customWidth="1"/>
    <col min="14" max="14" width="28.5546875" style="36" bestFit="1" customWidth="1"/>
    <col min="15" max="15" width="27.109375" style="33" bestFit="1" customWidth="1"/>
    <col min="16" max="16" width="24.44140625" style="33" bestFit="1" customWidth="1"/>
    <col min="17" max="18" width="17.109375" style="36" bestFit="1" customWidth="1"/>
    <col min="19" max="20" width="21.21875" style="33" bestFit="1" customWidth="1"/>
    <col min="21" max="21" width="23.6640625" style="33" bestFit="1" customWidth="1"/>
    <col min="22" max="22" width="23.33203125" style="36" bestFit="1" customWidth="1"/>
    <col min="23" max="23" width="28.88671875" style="36" bestFit="1" customWidth="1"/>
    <col min="24" max="24" width="19.109375" style="34" bestFit="1" customWidth="1"/>
    <col min="25" max="25" width="16.6640625" style="36" bestFit="1" customWidth="1"/>
    <col min="26" max="26" width="18" style="37" customWidth="1"/>
    <col min="27" max="27" width="19.109375" style="33" bestFit="1" customWidth="1"/>
    <col min="28" max="28" width="19.6640625" style="34" customWidth="1"/>
    <col min="29" max="29" width="20.44140625" style="34" customWidth="1"/>
    <col min="30" max="30" width="21.88671875" style="34" bestFit="1" customWidth="1"/>
    <col min="31" max="31" width="22.44140625" style="34" bestFit="1" customWidth="1"/>
    <col min="32" max="32" width="13.33203125" style="34" bestFit="1" customWidth="1"/>
    <col min="33" max="33" width="18.44140625" style="38" bestFit="1" customWidth="1"/>
    <col min="34" max="34" width="22" style="38" bestFit="1" customWidth="1"/>
    <col min="35" max="35" width="17.44140625" style="38" customWidth="1"/>
    <col min="36" max="36" width="18.88671875" style="39" customWidth="1"/>
    <col min="37" max="37" width="16" style="39" customWidth="1"/>
    <col min="38" max="38" width="20" style="39" bestFit="1" customWidth="1"/>
    <col min="39" max="40" width="21" style="33" customWidth="1"/>
    <col min="41" max="41" width="19.5546875" style="33" customWidth="1"/>
    <col min="42" max="42" width="9.6640625" style="33" customWidth="1"/>
    <col min="43" max="43" width="18.33203125" style="33" bestFit="1" customWidth="1"/>
    <col min="44" max="44" width="19.33203125" style="33" bestFit="1" customWidth="1"/>
    <col min="45" max="45" width="13.5546875" style="33" bestFit="1" customWidth="1"/>
    <col min="46" max="46" width="12.109375" style="33" bestFit="1" customWidth="1"/>
    <col min="47" max="47" width="15" style="33" bestFit="1" customWidth="1"/>
    <col min="48" max="48" width="15.6640625" style="33" bestFit="1" customWidth="1"/>
    <col min="49" max="49" width="14.5546875" style="33" bestFit="1" customWidth="1"/>
    <col min="50" max="50" width="18.33203125" style="33" bestFit="1" customWidth="1"/>
    <col min="51" max="51" width="13.44140625" style="33" bestFit="1" customWidth="1"/>
    <col min="52" max="52" width="14.6640625" style="33" bestFit="1" customWidth="1"/>
    <col min="53" max="53" width="32.109375" style="33" bestFit="1" customWidth="1"/>
    <col min="54" max="54" width="12.44140625" style="33" bestFit="1" customWidth="1"/>
    <col min="55" max="55" width="24.21875" style="33" bestFit="1" customWidth="1"/>
    <col min="56" max="56" width="14.44140625" style="33" bestFit="1" customWidth="1"/>
    <col min="57" max="57" width="12.21875" style="33" bestFit="1" customWidth="1"/>
    <col min="58" max="58" width="8.88671875" style="33" customWidth="1"/>
    <col min="59" max="16384" width="8.88671875" style="33"/>
  </cols>
  <sheetData>
    <row r="2" spans="1:63">
      <c r="AQ2" s="288" t="s">
        <v>740</v>
      </c>
    </row>
    <row r="3" spans="1:63" ht="15.6">
      <c r="B3" s="495" t="s">
        <v>2</v>
      </c>
      <c r="C3" s="496"/>
      <c r="D3" s="496"/>
      <c r="E3" s="496"/>
      <c r="F3" s="496"/>
      <c r="G3" s="496"/>
      <c r="H3" s="496"/>
      <c r="I3" s="497"/>
      <c r="J3" s="498" t="s">
        <v>3</v>
      </c>
      <c r="K3" s="499"/>
      <c r="L3" s="499"/>
      <c r="M3" s="499"/>
      <c r="N3" s="499"/>
      <c r="O3" s="499"/>
      <c r="P3" s="499"/>
      <c r="Q3" s="499"/>
      <c r="R3" s="500"/>
      <c r="S3" s="498" t="s">
        <v>4</v>
      </c>
      <c r="T3" s="499"/>
      <c r="U3" s="499"/>
      <c r="V3" s="499"/>
      <c r="W3" s="499"/>
      <c r="X3" s="499"/>
      <c r="Y3" s="499"/>
      <c r="Z3" s="499"/>
      <c r="AA3" s="499"/>
      <c r="AB3" s="499"/>
      <c r="AC3" s="499"/>
      <c r="AD3" s="499"/>
      <c r="AE3" s="499"/>
      <c r="AF3" s="499"/>
      <c r="AG3" s="499"/>
      <c r="AH3" s="499"/>
      <c r="AI3" s="499"/>
      <c r="AJ3" s="500"/>
      <c r="AK3" s="372"/>
      <c r="AL3" s="501" t="s">
        <v>1075</v>
      </c>
      <c r="AM3" s="502"/>
      <c r="AN3" s="502"/>
      <c r="AO3" s="502"/>
      <c r="AP3" s="371"/>
      <c r="AQ3" s="289">
        <f ca="1">((TABLE4A4398[[#Totals],[DESIGN OA (CFM)]]+AR3)/TABLE4A4398[[#Totals],[DESIGN SA (CFM)]])</f>
        <v>0.04</v>
      </c>
      <c r="AR3" s="105">
        <v>100</v>
      </c>
    </row>
    <row r="4" spans="1:63" s="41" customFormat="1" ht="53.1" customHeight="1">
      <c r="A4" s="40"/>
      <c r="B4" s="78" t="s">
        <v>5</v>
      </c>
      <c r="C4" s="373" t="s">
        <v>1076</v>
      </c>
      <c r="D4" s="79" t="s">
        <v>6</v>
      </c>
      <c r="E4" s="80" t="s">
        <v>7</v>
      </c>
      <c r="F4" s="80" t="s">
        <v>8</v>
      </c>
      <c r="G4" s="80" t="s">
        <v>9</v>
      </c>
      <c r="H4" s="81" t="s">
        <v>10</v>
      </c>
      <c r="I4" s="80" t="s">
        <v>11</v>
      </c>
      <c r="J4" s="80" t="s">
        <v>13</v>
      </c>
      <c r="K4" s="80" t="s">
        <v>2695</v>
      </c>
      <c r="L4" s="80" t="s">
        <v>14</v>
      </c>
      <c r="M4" s="80" t="s">
        <v>15</v>
      </c>
      <c r="N4" s="80" t="s">
        <v>16</v>
      </c>
      <c r="O4" s="80" t="s">
        <v>17</v>
      </c>
      <c r="P4" s="80" t="s">
        <v>18</v>
      </c>
      <c r="Q4" s="80" t="s">
        <v>19</v>
      </c>
      <c r="R4" s="80" t="s">
        <v>20</v>
      </c>
      <c r="S4" s="80" t="s">
        <v>21</v>
      </c>
      <c r="T4" s="81" t="s">
        <v>22</v>
      </c>
      <c r="U4" s="80" t="s">
        <v>23</v>
      </c>
      <c r="V4" s="80" t="s">
        <v>24</v>
      </c>
      <c r="W4" s="80" t="s">
        <v>25</v>
      </c>
      <c r="X4" s="80" t="s">
        <v>26</v>
      </c>
      <c r="Y4" s="80" t="s">
        <v>27</v>
      </c>
      <c r="Z4" s="80" t="s">
        <v>28</v>
      </c>
      <c r="AA4" s="80" t="s">
        <v>29</v>
      </c>
      <c r="AB4" s="80" t="s">
        <v>30</v>
      </c>
      <c r="AC4" s="80" t="s">
        <v>31</v>
      </c>
      <c r="AD4" s="80" t="s">
        <v>32</v>
      </c>
      <c r="AE4" s="80" t="s">
        <v>33</v>
      </c>
      <c r="AF4" s="80" t="s">
        <v>34</v>
      </c>
      <c r="AG4" s="80" t="s">
        <v>35</v>
      </c>
      <c r="AH4" s="80" t="s">
        <v>36</v>
      </c>
      <c r="AI4" s="80" t="s">
        <v>37</v>
      </c>
      <c r="AJ4" s="80" t="s">
        <v>38</v>
      </c>
      <c r="AK4" s="80" t="s">
        <v>39</v>
      </c>
      <c r="AL4" s="80" t="s">
        <v>670</v>
      </c>
      <c r="AM4" s="80" t="s">
        <v>671</v>
      </c>
      <c r="AN4" s="80" t="s">
        <v>91</v>
      </c>
      <c r="AO4" s="80" t="s">
        <v>672</v>
      </c>
      <c r="AP4" s="80" t="s">
        <v>41</v>
      </c>
      <c r="AQ4" s="80" t="s">
        <v>42</v>
      </c>
      <c r="AR4" s="80" t="s">
        <v>12</v>
      </c>
      <c r="AS4" s="33"/>
      <c r="AT4" s="33"/>
      <c r="AU4" s="33"/>
      <c r="AV4" s="33"/>
      <c r="AW4" s="33"/>
      <c r="AX4" s="33"/>
      <c r="AY4" s="33"/>
      <c r="AZ4" s="33"/>
      <c r="BA4" s="33"/>
      <c r="BB4" s="33"/>
      <c r="BC4" s="33"/>
      <c r="BD4" s="33"/>
      <c r="BE4" s="33"/>
      <c r="BF4" s="33"/>
      <c r="BG4" s="33"/>
      <c r="BH4" s="33"/>
      <c r="BI4" s="33"/>
      <c r="BJ4" s="33"/>
      <c r="BK4" s="33"/>
    </row>
    <row r="5" spans="1:63" ht="15" customHeight="1">
      <c r="B5" s="77" t="s">
        <v>62</v>
      </c>
      <c r="C5" s="77"/>
      <c r="D5" s="92" t="s">
        <v>43</v>
      </c>
      <c r="E5" s="92">
        <v>1234</v>
      </c>
      <c r="F5" s="92">
        <v>5000</v>
      </c>
      <c r="G5" s="92">
        <v>10</v>
      </c>
      <c r="H5" s="92">
        <v>200</v>
      </c>
      <c r="I5" s="92">
        <v>250</v>
      </c>
      <c r="J5" s="92" t="s">
        <v>176</v>
      </c>
      <c r="K5" s="92" t="str">
        <f>IF(ISNUMBER(SEARCH("Corridor",TABLE4A4398[[#This Row],[FUNCTION OR SPACE]])),"YES","NA")</f>
        <v>YES</v>
      </c>
      <c r="L5" s="91" t="str">
        <f>VLOOKUP($J5,'UMC Table 4-A'!$A$2:$E$132,2,FALSE)</f>
        <v>NR</v>
      </c>
      <c r="M5" s="91" t="str">
        <f>VLOOKUP($J5,'UMC Table 4-A'!$A$2:$E$132,3,FALSE)</f>
        <v>NR</v>
      </c>
      <c r="N5" s="93">
        <f>IF(TABLE4A4398[[#This Row],[FUNCTION OR SPACE]]="NOT PER TABLE 4A","NA",IF(M5&lt;&gt;"NR",ROUNDUP((F5*G5*M5)/60,-1),0))</f>
        <v>0</v>
      </c>
      <c r="O5" s="91">
        <f>VLOOKUP($J5,'UMC Table 4-A'!$A$2:$E$132,4,FALSE)</f>
        <v>2</v>
      </c>
      <c r="P5" s="91">
        <f>IF(TABLE4A4398[[#This Row],[FUNCTION OR SPACE]]="NOT PER TABLE 4A","NA",IF(O5&lt;&gt;"NR",ROUNDUP((F5*G5*O5)/60,-1),0))</f>
        <v>1670</v>
      </c>
      <c r="Q5" s="91" t="str">
        <f>VLOOKUP($J5,'UMC Table 4-A'!$A$2:$E$132,5,FALSE)</f>
        <v>NR</v>
      </c>
      <c r="R5" s="91">
        <f t="shared" ref="R5" si="0">IF(Q5="Yes",P5,0)</f>
        <v>0</v>
      </c>
      <c r="S5" s="92" t="s">
        <v>45</v>
      </c>
      <c r="T5" s="92">
        <v>0</v>
      </c>
      <c r="U5" s="92" t="s">
        <v>45</v>
      </c>
      <c r="V5" s="91" t="str">
        <f>IF(TABLE4A4398[[#This Row],[FUNCTION OR SPACE]]="NOT PER TABLE 4A",VLOOKUP(TABLE4A4398[[#This Row],[OCCUPANCY CATEGORY]],Ashrae90.1Vent[#All],2,FALSE),"NA")</f>
        <v>NA</v>
      </c>
      <c r="W5" s="94" t="str">
        <f>IF(TABLE4A4398[[#This Row],[FUNCTION OR SPACE]]="NOT PER TABLE 4A", VLOOKUP(TABLE4A4398[[#This Row],[OCCUPANCY CATEGORY]],Ashrae90.1Vent[#All],3,FALSE),"NA")</f>
        <v>NA</v>
      </c>
      <c r="X5" s="94" t="str">
        <f>IF(TABLE4A4398[[#This Row],[FUNCTION OR SPACE]]="NOT PER TABLE 4A",VLOOKUP(TABLE4A4398[[#This Row],[OCCUPANCY CATEGORY]],Ashrae90.1Vent[#All],4,FALSE),"NA")</f>
        <v>NA</v>
      </c>
      <c r="Y5" s="94" t="str">
        <f>IF(TABLE4A4398[[#This Row],[FUNCTION OR SPACE]]="NOT PER TABLE 4A",VLOOKUP(TABLE4A4398[[#This Row],[OCCUPANCY CATEGORY]],Ashrae90.1Vent[#All],5,FALSE),"NA")</f>
        <v>NA</v>
      </c>
      <c r="Z5" s="92" t="str">
        <f>IF(TABLE4A4398[[#This Row],[FUNCTION OR SPACE]]="NOT PER TABLE 4A",TABLE4A4398[[#This Row],[Occupants (Pz)]],"NA")</f>
        <v>NA</v>
      </c>
      <c r="AA5" s="94" t="str">
        <f>IF(TABLE4A4398[[#This Row],[FUNCTION OR SPACE]]="NOT PER TABLE 4A",CEILING((X5/1000)*F5,1),"NA")</f>
        <v>NA</v>
      </c>
      <c r="AB5" s="94" t="str">
        <f>IF(TABLE4A4398[[#This Row],[FUNCTION OR SPACE]]="NOT PER TABLE 4A",IF((TABLE4A4398[[#Totals],[Actual Number of  Occupants (Ps)]]/TABLE4A4398[[#Totals],[Occupants (Pz)]])&gt;1,1,TABLE4A4398[[#Totals],[Actual Number of  Occupants (Ps)]]/TABLE4A4398[[#Totals],[Occupants (Pz)]]),"NA")</f>
        <v>NA</v>
      </c>
      <c r="AC5" s="95" t="str">
        <f>IF(TABLE4A4398[[#This Row],[FUNCTION OR SPACE]]="NOT PER TABLE 4A",(TABLE4A4398[[#This Row],[DIVERSITY (D)]]*TABLE4A4398[[#This Row],[RP
(CFM/PER PERSON)]]*TABLE4A4398[[#This Row],[Occupants (Pz)]])+(TABLE4A4398[[#This Row],[RA
(CFM/FT²)]]*TABLE4A4398[[#This Row],[AREA 
(FT²)]]),"NA")</f>
        <v>NA</v>
      </c>
      <c r="AD5" s="96" t="str">
        <f>IF(TABLE4A4398[[#This Row],[FUNCTION OR SPACE]]="NOT PER TABLE 4A",IF(TABLE4A4398[[#This Row],[DIVERSITY (D)]]&lt;0.6,(0.88*TABLE4A4398[[#This Row],[DIVERSITY (D)]]+0.22),0.75),"NA")</f>
        <v>NA</v>
      </c>
      <c r="AE5" s="95" t="str">
        <f>IF(TABLE4A4398[[#This Row],[FUNCTION OR SPACE]]="NOT PER TABLE 4A",TABLE4A4398[[#This Row],[Uncorrected OA (Vou)]]/TABLE4A4398[[#This Row],[System Efficiency (Ev)]],"NA")</f>
        <v>NA</v>
      </c>
      <c r="AF5" s="92" t="s">
        <v>46</v>
      </c>
      <c r="AG5" s="95" t="str">
        <f>VLOOKUP(TABLE4A4398[[#This Row],[OCCUPANCY CATEGORY]],Ashrae90.1Vent[#All],6,FALSE)</f>
        <v>NA</v>
      </c>
      <c r="AH5" s="95" t="str">
        <f>IF(TABLE4A4398[[#This Row],[Exhaust Category]]="NOT APPLICABLE","NA",VLOOKUP(TABLE4A4398[[#This Row],[Exhaust Category]],ASHRAE_EA_Table[#All],2,FALSE))</f>
        <v>NA</v>
      </c>
      <c r="AI5" s="95" t="str">
        <f>IF(TABLE4A4398[[#This Row],[Exhaust Category]]="NOT APPLICABLE","NA",VLOOKUP(TABLE4A4398[[#This Row],[Exhaust Category]],ASHRAE_EA_Table[#All],3,FALSE))</f>
        <v>NA</v>
      </c>
      <c r="AJ5" s="94">
        <f>IFERROR(IF(TABLE4A4398[[#This Row],[EA RATE
(CFM/UNIT)]] = 0,TABLE4A4398[[#This Row],[EA RATE
(CFM/FT²)]]*TABLE4A4398[[#This Row],[AREA 
(FT²)]],TABLE4A4398[[#This Row],[EA RATE
(CFM/UNIT)]]*TABLE4A4398[[#This Row],[ASHRAE
EXHAUST UNIT]]),0)</f>
        <v>0</v>
      </c>
      <c r="AK5" s="91" cm="1">
        <f t="array" aca="1" ref="AK5" ca="1">supplyair_Comb(TABLE4A4398[[#This Row],[LOAD 
(CFM)]],TABLE4A4398[[#This Row],[MIN TOTAL ACH 
(CFM)]],TABLE4A4398[[#This Row],[1 or 0.5 CFM/SF]],TABLE4A4398[[#This Row],[Desired Air Balance Difference]],TABLE4A4398[[#This Row],[100% EA
 (YES/NR)]],TABLE4A4398[[#This Row],[MIN EA 
(CFM)]],TABLE4A4398[[#This Row],[FUNCTION OR SPACE]],TABLE4A4398[[#This Row],[Exhaust Category]],TABLE4A4398[[#This Row],[MIN ASHRAE EA
(CFM)]],TABLE4A4398[[#This Row],[DESIGN OA (CFM)]])</f>
        <v>2500</v>
      </c>
      <c r="AL5" s="90">
        <f>MROUND(IF(TABLE4A4398[[#This Row],[FUNCTION OR SPACE]]="NOT PER TABLE 4A",TABLE4A4398[[#This Row],[OUTSIDE AIRFLOW (CFM) (Vot)]],TABLE4A4398[[#This Row],[MIN OUTDOOR ACH 
(CFM)]]),5)</f>
        <v>0</v>
      </c>
      <c r="AM5" s="97">
        <f ca="1">TABLE4A4398[[#This Row],[CALCULATED SA 
(CFM)]]</f>
        <v>2500</v>
      </c>
      <c r="AN5" s="97" cm="1">
        <f t="array" aca="1" ref="AN5" ca="1">returnair_comb(TABLE4A4398[[#This Row],[DESIGN SA (CFM)]],TABLE4A4398[[#This Row],[Desired Air Balance Difference]],TABLE4A4398[[#This Row],[100% EA
 (YES/NR)]],TABLE4A4398[[#This Row],[FUNCTION OR SPACE]],TABLE4A4398[[#This Row],[Exhaust Category]],TABLE4A4398[[#This Row],[MIN ASHRAE EA
(CFM)]])</f>
        <v>2300</v>
      </c>
      <c r="AO5" s="97" cm="1">
        <f t="array" aca="1" ref="AO5" ca="1">Exhaustair_comb(TABLE4A4398[[#This Row],[DESIGN SA (CFM)]],TABLE4A4398[[#This Row],[100% EA
 (YES/NR)]],TABLE4A4398[[#This Row],[MIN EA 
(CFM)]],TABLE4A4398[[#This Row],[Desired Air Balance Difference]],TABLE4A4398[[#This Row],[FUNCTION OR SPACE]],TABLE4A4398[[#This Row],[Exhaust Category]],TABLE4A4398[[#This Row],[MIN ASHRAE EA
(CFM)]])</f>
        <v>0</v>
      </c>
      <c r="AP5" s="98">
        <f t="shared" ref="AP5" ca="1" si="1">IFERROR(AK5/F5,"-")</f>
        <v>0.5</v>
      </c>
      <c r="AQ5" s="98">
        <f ca="1">IF(TABLE4A4398[[#This Row],[DESIGN SA (CFM)]]=0,0,(TABLE4A4398[[#This Row],[DESIGN OA (CFM)]]/TABLE4A4398[[#This Row],[DESIGN SA (CFM)]])*100)</f>
        <v>0</v>
      </c>
      <c r="AR5" s="91">
        <f t="shared" ref="AR5" si="2">IF(OR((J5="PATIENT CORRIDOR"),(J5="TOILET")),(F5*0.5),F5)</f>
        <v>2500</v>
      </c>
    </row>
    <row r="6" spans="1:63" ht="15" customHeight="1">
      <c r="B6" s="89"/>
      <c r="C6" s="89"/>
      <c r="D6" s="102"/>
      <c r="E6" s="102"/>
      <c r="F6" s="103">
        <f>SUBTOTAL(109,TABLE4A4398[AREA 
(FT²)])</f>
        <v>5000</v>
      </c>
      <c r="G6" s="103"/>
      <c r="H6" s="103"/>
      <c r="I6" s="103"/>
      <c r="J6" s="103"/>
      <c r="K6" s="103"/>
      <c r="L6" s="103"/>
      <c r="M6" s="103"/>
      <c r="N6" s="104">
        <f>SUBTOTAL(109,TABLE4A4398[MIN OUTDOOR ACH 
(CFM)])</f>
        <v>0</v>
      </c>
      <c r="O6" s="103"/>
      <c r="P6" s="103">
        <f>SUBTOTAL(109,TABLE4A4398[MIN TOTAL ACH 
(CFM)])</f>
        <v>1670</v>
      </c>
      <c r="Q6" s="103"/>
      <c r="R6" s="103">
        <f>SUBTOTAL(109,TABLE4A4398[MIN EA 
(CFM)])</f>
        <v>0</v>
      </c>
      <c r="S6" s="103"/>
      <c r="T6" s="103"/>
      <c r="U6" s="103"/>
      <c r="V6" s="103"/>
      <c r="W6" s="103"/>
      <c r="X6" s="103"/>
      <c r="Y6" s="103"/>
      <c r="Z6" s="103">
        <f>SUBTOTAL(109,TABLE4A4398[Actual Number of  Occupants (Ps)])</f>
        <v>0</v>
      </c>
      <c r="AA6" s="103">
        <f>SUBTOTAL(109,TABLE4A4398[Occupants (Pz)])</f>
        <v>0</v>
      </c>
      <c r="AB6" s="103"/>
      <c r="AC6" s="103"/>
      <c r="AD6" s="103"/>
      <c r="AE6" s="103"/>
      <c r="AF6" s="103"/>
      <c r="AG6" s="103"/>
      <c r="AH6" s="103"/>
      <c r="AI6" s="103"/>
      <c r="AJ6" s="103"/>
      <c r="AK6" s="103">
        <f ca="1">SUBTOTAL(109,TABLE4A4398[CALCULATED SA 
(CFM)])</f>
        <v>2500</v>
      </c>
      <c r="AL6" s="103">
        <f>SUBTOTAL(109,TABLE4A4398[DESIGN OA (CFM)])</f>
        <v>0</v>
      </c>
      <c r="AM6" s="103">
        <f ca="1">SUBTOTAL(109,TABLE4A4398[DESIGN SA (CFM)])</f>
        <v>2500</v>
      </c>
      <c r="AN6" s="104">
        <f ca="1">SUBTOTAL(109,TABLE4A4398[DESIGN RA (CFM)])</f>
        <v>2300</v>
      </c>
      <c r="AO6" s="103">
        <f ca="1">SUBTOTAL(109,TABLE4A4398[DESIGN EA (CFM)])</f>
        <v>0</v>
      </c>
      <c r="AP6" s="103"/>
      <c r="AQ6" s="105"/>
      <c r="AR6" s="103"/>
    </row>
    <row r="7" spans="1:63" ht="15" customHeight="1">
      <c r="B7" s="42"/>
      <c r="C7" s="42"/>
      <c r="D7" s="43"/>
      <c r="H7" s="34"/>
      <c r="I7" s="44"/>
      <c r="J7" s="44"/>
      <c r="K7" s="44"/>
      <c r="N7" s="45"/>
      <c r="O7" s="46"/>
      <c r="P7" s="46"/>
      <c r="R7" s="33"/>
      <c r="U7" s="47"/>
      <c r="V7" s="47"/>
      <c r="W7" s="33"/>
      <c r="X7" s="33"/>
      <c r="Y7" s="33"/>
      <c r="Z7" s="33"/>
      <c r="AA7" s="47"/>
      <c r="AB7" s="48"/>
    </row>
    <row r="8" spans="1:63" ht="15" customHeight="1">
      <c r="B8" s="49"/>
      <c r="C8" s="49"/>
      <c r="D8" s="43"/>
      <c r="H8" s="34"/>
      <c r="I8" s="44"/>
      <c r="J8" s="44"/>
      <c r="K8" s="44"/>
      <c r="N8" s="45"/>
      <c r="O8" s="46"/>
      <c r="P8" s="46"/>
      <c r="R8" s="33"/>
      <c r="W8" s="33"/>
      <c r="X8" s="33"/>
      <c r="Y8" s="33"/>
      <c r="Z8" s="33"/>
      <c r="AA8" s="34"/>
      <c r="AB8" s="48"/>
    </row>
    <row r="9" spans="1:63" ht="15" customHeight="1">
      <c r="B9" s="42"/>
      <c r="C9" s="42"/>
      <c r="D9" s="43"/>
      <c r="W9" s="33"/>
      <c r="X9" s="33"/>
      <c r="Y9" s="33"/>
      <c r="Z9" s="33"/>
    </row>
    <row r="10" spans="1:63" ht="15" customHeight="1">
      <c r="N10" s="33"/>
      <c r="Q10" s="33"/>
      <c r="T10" s="33" t="s">
        <v>73</v>
      </c>
      <c r="W10" s="33"/>
      <c r="X10" s="33"/>
      <c r="Y10" s="33"/>
      <c r="Z10" s="33"/>
    </row>
    <row r="11" spans="1:63" ht="15" customHeight="1">
      <c r="W11" s="33"/>
      <c r="X11" s="33"/>
      <c r="Y11" s="33"/>
      <c r="Z11" s="33"/>
    </row>
    <row r="12" spans="1:63" ht="15" customHeight="1">
      <c r="W12" s="33"/>
      <c r="X12" s="33"/>
      <c r="Y12" s="33"/>
      <c r="Z12" s="33"/>
    </row>
    <row r="13" spans="1:63" ht="15" customHeight="1">
      <c r="W13" s="33"/>
      <c r="X13" s="33"/>
      <c r="Y13" s="33"/>
      <c r="Z13" s="33"/>
    </row>
    <row r="14" spans="1:63" ht="15" customHeight="1">
      <c r="W14" s="33"/>
      <c r="X14" s="33"/>
      <c r="Y14" s="33"/>
      <c r="Z14" s="33"/>
      <c r="AB14" s="265"/>
    </row>
    <row r="15" spans="1:63" ht="15" customHeight="1"/>
    <row r="16" spans="1:63"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spans="35:44" ht="15" customHeight="1"/>
    <row r="34" spans="35:44" ht="15" customHeight="1"/>
    <row r="35" spans="35:44" ht="15" customHeight="1"/>
    <row r="36" spans="35:44" ht="15" customHeight="1"/>
    <row r="37" spans="35:44" ht="15" customHeight="1"/>
    <row r="38" spans="35:44" ht="15" customHeight="1"/>
    <row r="39" spans="35:44" ht="15" customHeight="1"/>
    <row r="40" spans="35:44" ht="15" customHeight="1"/>
    <row r="41" spans="35:44" ht="15" customHeight="1"/>
    <row r="42" spans="35:44" ht="15" customHeight="1"/>
    <row r="43" spans="35:44" ht="15" customHeight="1"/>
    <row r="44" spans="35:44" ht="15" customHeight="1"/>
    <row r="45" spans="35:44" ht="15" customHeight="1"/>
    <row r="46" spans="35:44" ht="15" customHeight="1">
      <c r="AI46" s="34"/>
      <c r="AJ46" s="34"/>
      <c r="AK46" s="34"/>
      <c r="AL46" s="34"/>
      <c r="AM46" s="34"/>
      <c r="AN46" s="34"/>
      <c r="AO46" s="34"/>
      <c r="AP46" s="34"/>
      <c r="AQ46" s="34"/>
      <c r="AR46" s="34"/>
    </row>
    <row r="47" spans="35:44" ht="15" customHeight="1">
      <c r="AI47" s="34"/>
      <c r="AJ47" s="34"/>
      <c r="AK47" s="34"/>
      <c r="AL47" s="34"/>
      <c r="AM47" s="34"/>
      <c r="AN47" s="34"/>
      <c r="AO47" s="34"/>
      <c r="AP47" s="34"/>
      <c r="AQ47" s="34"/>
      <c r="AR47" s="34"/>
    </row>
    <row r="48" spans="35:44" ht="15" customHeight="1">
      <c r="AI48" s="34"/>
      <c r="AJ48" s="34"/>
      <c r="AK48" s="34"/>
      <c r="AL48" s="34"/>
      <c r="AM48" s="34"/>
      <c r="AN48" s="34"/>
      <c r="AO48" s="34"/>
      <c r="AP48" s="34"/>
      <c r="AQ48" s="34"/>
      <c r="AR48" s="34"/>
    </row>
    <row r="49" spans="16:50" ht="15" customHeight="1">
      <c r="AI49" s="34"/>
      <c r="AJ49" s="34"/>
      <c r="AK49" s="34"/>
      <c r="AL49" s="34"/>
      <c r="AM49" s="34"/>
      <c r="AN49" s="34"/>
      <c r="AO49" s="34"/>
      <c r="AP49" s="34"/>
      <c r="AQ49" s="34"/>
      <c r="AR49" s="34"/>
    </row>
    <row r="50" spans="16:50" ht="15" customHeight="1">
      <c r="AI50" s="34"/>
      <c r="AJ50" s="34"/>
      <c r="AK50" s="34"/>
      <c r="AL50" s="34"/>
      <c r="AM50" s="34"/>
      <c r="AN50" s="34"/>
      <c r="AO50" s="34"/>
      <c r="AP50" s="34"/>
      <c r="AQ50" s="34"/>
      <c r="AR50" s="34"/>
    </row>
    <row r="51" spans="16:50" ht="15" customHeight="1">
      <c r="AI51" s="34"/>
      <c r="AJ51" s="34"/>
      <c r="AK51" s="34"/>
      <c r="AL51" s="34"/>
      <c r="AM51" s="34"/>
      <c r="AN51" s="34"/>
      <c r="AO51" s="34"/>
      <c r="AP51" s="34"/>
      <c r="AQ51" s="34"/>
      <c r="AR51" s="34"/>
    </row>
    <row r="52" spans="16:50" ht="15" customHeight="1">
      <c r="AI52" s="34"/>
      <c r="AJ52" s="34"/>
      <c r="AK52" s="34"/>
      <c r="AL52" s="34"/>
      <c r="AM52" s="34"/>
      <c r="AN52" s="34"/>
      <c r="AO52" s="34"/>
      <c r="AP52" s="34"/>
      <c r="AQ52" s="34"/>
      <c r="AR52" s="34"/>
    </row>
    <row r="53" spans="16:50" ht="15" customHeight="1">
      <c r="AI53" s="34"/>
      <c r="AJ53" s="34"/>
      <c r="AK53" s="34"/>
      <c r="AL53" s="34"/>
      <c r="AM53" s="34"/>
      <c r="AN53" s="34"/>
      <c r="AO53" s="34"/>
      <c r="AP53" s="34"/>
      <c r="AQ53" s="34"/>
      <c r="AR53" s="34"/>
      <c r="AS53" s="34"/>
      <c r="AT53" s="34"/>
      <c r="AU53" s="34"/>
      <c r="AV53" s="34"/>
    </row>
    <row r="54" spans="16:50" ht="15" customHeight="1">
      <c r="AI54" s="34"/>
      <c r="AJ54" s="34"/>
      <c r="AK54" s="34"/>
      <c r="AL54" s="34"/>
      <c r="AM54" s="34"/>
      <c r="AN54" s="34"/>
      <c r="AO54" s="34"/>
      <c r="AP54" s="34"/>
      <c r="AQ54" s="34"/>
      <c r="AR54" s="34"/>
      <c r="AS54" s="34"/>
      <c r="AT54" s="34"/>
      <c r="AU54" s="34"/>
      <c r="AV54" s="34"/>
    </row>
    <row r="55" spans="16:50" ht="15" customHeight="1">
      <c r="AI55" s="34"/>
      <c r="AJ55" s="34"/>
      <c r="AK55" s="34"/>
      <c r="AL55" s="34"/>
      <c r="AM55" s="34"/>
      <c r="AN55" s="34"/>
      <c r="AO55" s="34"/>
      <c r="AP55" s="34"/>
      <c r="AQ55" s="34"/>
      <c r="AR55" s="34"/>
      <c r="AS55" s="34"/>
      <c r="AT55" s="34"/>
      <c r="AU55" s="34"/>
      <c r="AV55" s="34"/>
    </row>
    <row r="56" spans="16:50" ht="15" customHeight="1">
      <c r="AI56" s="34"/>
      <c r="AJ56" s="34"/>
      <c r="AK56" s="34"/>
      <c r="AL56" s="34"/>
      <c r="AM56" s="34"/>
      <c r="AN56" s="34"/>
      <c r="AO56" s="34"/>
      <c r="AP56" s="34"/>
      <c r="AQ56" s="34"/>
      <c r="AR56" s="34"/>
      <c r="AS56" s="34"/>
      <c r="AT56" s="34"/>
      <c r="AU56" s="34"/>
      <c r="AV56" s="34"/>
      <c r="AX56" s="34"/>
    </row>
    <row r="57" spans="16:50" ht="15" customHeight="1">
      <c r="AI57" s="34"/>
      <c r="AJ57" s="34"/>
      <c r="AK57" s="34"/>
      <c r="AL57" s="34"/>
      <c r="AM57" s="34"/>
      <c r="AN57" s="34"/>
      <c r="AO57" s="34"/>
      <c r="AP57" s="34"/>
      <c r="AQ57" s="34"/>
      <c r="AR57" s="34"/>
      <c r="AS57" s="34"/>
      <c r="AT57" s="34"/>
      <c r="AU57" s="34"/>
      <c r="AV57" s="34"/>
      <c r="AX57" s="34"/>
    </row>
    <row r="58" spans="16:50" ht="15" customHeight="1">
      <c r="AI58" s="34"/>
      <c r="AJ58" s="34"/>
      <c r="AK58" s="34"/>
      <c r="AL58" s="34"/>
      <c r="AM58" s="34"/>
      <c r="AN58" s="34"/>
      <c r="AO58" s="34"/>
      <c r="AP58" s="34"/>
      <c r="AQ58" s="34"/>
      <c r="AR58" s="34"/>
      <c r="AS58" s="34"/>
      <c r="AT58" s="34"/>
      <c r="AU58" s="34"/>
      <c r="AV58" s="34"/>
      <c r="AX58" s="34"/>
    </row>
    <row r="59" spans="16:50" ht="15" customHeight="1">
      <c r="AI59" s="34"/>
      <c r="AJ59" s="34"/>
      <c r="AK59" s="34"/>
      <c r="AL59" s="34"/>
      <c r="AM59" s="34"/>
      <c r="AN59" s="34"/>
      <c r="AO59" s="34"/>
      <c r="AP59" s="34"/>
      <c r="AQ59" s="34"/>
      <c r="AR59" s="34"/>
      <c r="AS59" s="34"/>
      <c r="AT59" s="34"/>
      <c r="AU59" s="34"/>
      <c r="AV59" s="34"/>
      <c r="AX59" s="34"/>
    </row>
    <row r="60" spans="16:50" ht="15" customHeight="1">
      <c r="AI60" s="34"/>
      <c r="AJ60" s="34"/>
      <c r="AK60" s="34"/>
      <c r="AL60" s="34"/>
      <c r="AM60" s="34"/>
      <c r="AN60" s="34"/>
      <c r="AO60" s="34"/>
      <c r="AP60" s="34"/>
      <c r="AQ60" s="34"/>
      <c r="AR60" s="34"/>
      <c r="AS60" s="34"/>
      <c r="AT60" s="34"/>
      <c r="AU60" s="34"/>
      <c r="AV60" s="34"/>
      <c r="AX60" s="34"/>
    </row>
    <row r="61" spans="16:50" ht="15" customHeight="1">
      <c r="AI61" s="34"/>
      <c r="AJ61" s="34"/>
      <c r="AK61" s="34"/>
      <c r="AL61" s="34"/>
      <c r="AM61" s="34"/>
      <c r="AN61" s="34"/>
      <c r="AO61" s="34"/>
      <c r="AP61" s="34"/>
      <c r="AQ61" s="34"/>
      <c r="AR61" s="34"/>
      <c r="AS61" s="34"/>
      <c r="AT61" s="34"/>
      <c r="AU61" s="34"/>
      <c r="AV61" s="34"/>
      <c r="AX61" s="34"/>
    </row>
    <row r="62" spans="16:50" ht="15" customHeight="1">
      <c r="P62" s="36"/>
      <c r="Q62" s="33"/>
      <c r="R62" s="33"/>
      <c r="S62" s="36"/>
      <c r="X62" s="33"/>
      <c r="Y62" s="33"/>
      <c r="Z62" s="33"/>
      <c r="AA62" s="36"/>
      <c r="AB62" s="36"/>
      <c r="AD62" s="36"/>
      <c r="AE62" s="37"/>
      <c r="AF62" s="33"/>
      <c r="AI62" s="34"/>
      <c r="AJ62" s="34"/>
      <c r="AK62" s="34"/>
      <c r="AL62" s="34"/>
      <c r="AM62" s="34"/>
      <c r="AN62" s="34"/>
      <c r="AO62" s="34"/>
      <c r="AP62" s="34"/>
      <c r="AQ62" s="34"/>
      <c r="AR62" s="34"/>
      <c r="AS62" s="34"/>
      <c r="AT62" s="34"/>
      <c r="AU62" s="34"/>
      <c r="AV62" s="34"/>
      <c r="AX62" s="34"/>
    </row>
    <row r="63" spans="16:50" ht="15" customHeight="1">
      <c r="P63" s="34"/>
      <c r="Q63" s="34"/>
      <c r="R63" s="34"/>
      <c r="S63" s="34"/>
      <c r="T63" s="34"/>
      <c r="U63" s="34"/>
      <c r="V63" s="34"/>
      <c r="W63" s="34"/>
      <c r="Y63" s="34"/>
      <c r="Z63" s="34"/>
      <c r="AA63" s="34"/>
      <c r="AI63" s="34"/>
      <c r="AJ63" s="34"/>
      <c r="AK63" s="34"/>
      <c r="AL63" s="34"/>
      <c r="AM63" s="34"/>
      <c r="AN63" s="34"/>
      <c r="AO63" s="34"/>
      <c r="AP63" s="34"/>
      <c r="AQ63" s="34"/>
      <c r="AR63" s="34"/>
      <c r="AS63" s="34"/>
      <c r="AT63" s="34"/>
      <c r="AU63" s="34"/>
      <c r="AV63" s="34"/>
      <c r="AX63" s="34"/>
    </row>
    <row r="64" spans="16:50" ht="15" customHeight="1">
      <c r="P64" s="34"/>
      <c r="Q64" s="34"/>
      <c r="R64" s="34"/>
      <c r="S64" s="34"/>
      <c r="T64" s="34"/>
      <c r="U64" s="34"/>
      <c r="V64" s="34"/>
      <c r="W64" s="34"/>
      <c r="Y64" s="34"/>
      <c r="Z64" s="34"/>
      <c r="AA64" s="34"/>
      <c r="AI64" s="34"/>
      <c r="AJ64" s="34"/>
      <c r="AK64" s="34"/>
      <c r="AL64" s="34"/>
      <c r="AM64" s="34"/>
      <c r="AN64" s="34"/>
      <c r="AO64" s="34"/>
      <c r="AP64" s="34"/>
      <c r="AQ64" s="34"/>
      <c r="AR64" s="34"/>
      <c r="AS64" s="34"/>
      <c r="AT64" s="34"/>
      <c r="AU64" s="34"/>
      <c r="AV64" s="34"/>
      <c r="AX64" s="34"/>
    </row>
    <row r="65" spans="16:51" ht="15" customHeight="1">
      <c r="P65" s="34"/>
      <c r="Q65" s="34"/>
      <c r="R65" s="34"/>
      <c r="S65" s="34"/>
      <c r="T65" s="34"/>
      <c r="U65" s="34"/>
      <c r="V65" s="34"/>
      <c r="W65" s="34"/>
      <c r="Y65" s="34"/>
      <c r="Z65" s="34"/>
      <c r="AA65" s="34"/>
      <c r="AI65" s="34"/>
      <c r="AJ65" s="34"/>
      <c r="AK65" s="34"/>
      <c r="AL65" s="34"/>
      <c r="AM65" s="34"/>
      <c r="AN65" s="34"/>
      <c r="AO65" s="34"/>
      <c r="AP65" s="34"/>
      <c r="AQ65" s="34"/>
      <c r="AR65" s="34"/>
      <c r="AS65" s="34"/>
      <c r="AT65" s="34"/>
      <c r="AU65" s="34"/>
      <c r="AV65" s="34"/>
      <c r="AX65" s="34"/>
    </row>
    <row r="66" spans="16:51" ht="15" customHeight="1">
      <c r="P66" s="34"/>
      <c r="Q66" s="34"/>
      <c r="R66" s="34"/>
      <c r="S66" s="34"/>
      <c r="T66" s="34"/>
      <c r="U66" s="34"/>
      <c r="V66" s="34"/>
      <c r="W66" s="34"/>
      <c r="Y66" s="34"/>
      <c r="Z66" s="34"/>
      <c r="AA66" s="34"/>
      <c r="AI66" s="34"/>
      <c r="AJ66" s="34"/>
      <c r="AK66" s="34"/>
      <c r="AL66" s="34"/>
      <c r="AM66" s="34"/>
      <c r="AN66" s="34"/>
      <c r="AO66" s="34"/>
      <c r="AP66" s="34"/>
      <c r="AQ66" s="34"/>
      <c r="AR66" s="34"/>
      <c r="AS66" s="34"/>
      <c r="AT66" s="34"/>
      <c r="AU66" s="34"/>
      <c r="AV66" s="34"/>
      <c r="AX66" s="34"/>
    </row>
    <row r="67" spans="16:51" ht="15" customHeight="1">
      <c r="P67" s="38"/>
      <c r="Q67" s="38"/>
      <c r="R67" s="34"/>
      <c r="S67" s="34"/>
      <c r="T67" s="34"/>
      <c r="U67" s="34"/>
      <c r="V67" s="34"/>
      <c r="W67" s="34"/>
      <c r="Y67" s="34"/>
      <c r="Z67" s="34"/>
      <c r="AA67" s="34"/>
      <c r="AE67" s="33"/>
      <c r="AI67" s="34"/>
      <c r="AJ67" s="34"/>
      <c r="AK67" s="34"/>
      <c r="AL67" s="34"/>
      <c r="AM67" s="34"/>
      <c r="AN67" s="34"/>
      <c r="AO67" s="34"/>
      <c r="AP67" s="34"/>
      <c r="AQ67" s="34"/>
      <c r="AR67" s="34"/>
      <c r="AS67" s="34"/>
      <c r="AT67" s="34"/>
      <c r="AU67" s="34"/>
      <c r="AV67" s="34"/>
      <c r="AX67" s="34"/>
    </row>
    <row r="68" spans="16:51" ht="15" customHeight="1">
      <c r="P68" s="38"/>
      <c r="Q68" s="38"/>
      <c r="R68" s="34"/>
      <c r="S68" s="34"/>
      <c r="T68" s="34"/>
      <c r="U68" s="34"/>
      <c r="V68" s="34"/>
      <c r="W68" s="34"/>
      <c r="Y68" s="34"/>
      <c r="Z68" s="34"/>
      <c r="AA68" s="34"/>
      <c r="AE68" s="33"/>
      <c r="AI68" s="34"/>
      <c r="AJ68" s="34"/>
      <c r="AK68" s="34"/>
      <c r="AL68" s="34"/>
      <c r="AM68" s="34"/>
      <c r="AN68" s="34"/>
      <c r="AO68" s="34"/>
      <c r="AP68" s="34"/>
      <c r="AQ68" s="34"/>
      <c r="AR68" s="34"/>
      <c r="AS68" s="34"/>
      <c r="AT68" s="34"/>
      <c r="AU68" s="34"/>
      <c r="AV68" s="34"/>
      <c r="AX68" s="34"/>
    </row>
    <row r="69" spans="16:51" ht="15" customHeight="1">
      <c r="P69" s="38"/>
      <c r="Q69" s="38"/>
      <c r="R69" s="34"/>
      <c r="S69" s="34"/>
      <c r="T69" s="34"/>
      <c r="U69" s="34"/>
      <c r="V69" s="34"/>
      <c r="W69" s="34"/>
      <c r="Y69" s="34"/>
      <c r="Z69" s="34"/>
      <c r="AA69" s="34"/>
      <c r="AE69" s="33"/>
      <c r="AJ69" s="34"/>
      <c r="AK69" s="34"/>
      <c r="AL69" s="34"/>
      <c r="AM69" s="34"/>
      <c r="AN69" s="34"/>
      <c r="AO69" s="34"/>
      <c r="AP69" s="34"/>
      <c r="AQ69" s="34"/>
      <c r="AR69" s="34"/>
      <c r="AS69" s="34"/>
      <c r="AT69" s="34"/>
      <c r="AU69" s="34"/>
      <c r="AV69" s="34"/>
      <c r="AX69" s="34"/>
    </row>
    <row r="70" spans="16:51" ht="15" customHeight="1">
      <c r="AD70" s="48"/>
      <c r="AJ70" s="34"/>
      <c r="AK70" s="34"/>
      <c r="AL70" s="34"/>
      <c r="AM70" s="34"/>
      <c r="AN70" s="34"/>
      <c r="AO70" s="34"/>
      <c r="AP70" s="34"/>
      <c r="AQ70" s="34"/>
      <c r="AR70" s="34"/>
      <c r="AS70" s="34"/>
      <c r="AT70" s="34"/>
      <c r="AU70" s="34"/>
      <c r="AV70" s="34"/>
      <c r="AX70" s="34"/>
    </row>
    <row r="71" spans="16:51" ht="15" customHeight="1">
      <c r="AJ71" s="34"/>
      <c r="AK71" s="34"/>
      <c r="AL71" s="34"/>
      <c r="AM71" s="34"/>
      <c r="AN71" s="34"/>
      <c r="AO71" s="34"/>
      <c r="AP71" s="34"/>
      <c r="AQ71" s="34"/>
      <c r="AR71" s="34"/>
      <c r="AS71" s="34"/>
      <c r="AT71" s="34"/>
      <c r="AU71" s="34"/>
      <c r="AV71" s="34"/>
      <c r="AX71" s="34"/>
    </row>
    <row r="72" spans="16:51" ht="15" customHeight="1">
      <c r="AJ72" s="34"/>
      <c r="AK72" s="34"/>
      <c r="AL72" s="34"/>
      <c r="AM72" s="34"/>
      <c r="AN72" s="34"/>
      <c r="AO72" s="34"/>
      <c r="AP72" s="34"/>
      <c r="AQ72" s="34"/>
      <c r="AR72" s="34"/>
      <c r="AS72" s="34"/>
      <c r="AT72" s="34"/>
      <c r="AU72" s="34"/>
      <c r="AV72" s="34"/>
      <c r="AX72" s="34"/>
    </row>
    <row r="73" spans="16:51" ht="15" customHeight="1">
      <c r="AJ73" s="34"/>
      <c r="AK73" s="34"/>
      <c r="AL73" s="34"/>
      <c r="AM73" s="34"/>
      <c r="AN73" s="34"/>
      <c r="AO73" s="34"/>
      <c r="AP73" s="34"/>
      <c r="AQ73" s="34"/>
      <c r="AR73" s="34"/>
      <c r="AS73" s="34"/>
      <c r="AT73" s="34"/>
      <c r="AU73" s="34"/>
      <c r="AV73" s="34"/>
      <c r="AX73" s="34"/>
    </row>
    <row r="74" spans="16:51" ht="15" customHeight="1">
      <c r="AJ74" s="34"/>
      <c r="AK74" s="34"/>
      <c r="AL74" s="34"/>
      <c r="AM74" s="34"/>
      <c r="AN74" s="34"/>
      <c r="AO74" s="34"/>
      <c r="AP74" s="34"/>
      <c r="AQ74" s="34"/>
      <c r="AR74" s="34"/>
      <c r="AS74" s="34"/>
      <c r="AT74" s="34"/>
      <c r="AU74" s="34"/>
      <c r="AV74" s="34"/>
      <c r="AX74" s="34"/>
    </row>
    <row r="75" spans="16:51" ht="15" customHeight="1">
      <c r="AJ75" s="34"/>
      <c r="AK75" s="34"/>
      <c r="AL75" s="34"/>
      <c r="AM75" s="34"/>
      <c r="AN75" s="34"/>
      <c r="AO75" s="34"/>
      <c r="AP75" s="34"/>
      <c r="AQ75" s="34"/>
      <c r="AR75" s="34"/>
      <c r="AS75" s="34"/>
      <c r="AT75" s="34"/>
      <c r="AU75" s="34"/>
      <c r="AV75" s="34"/>
      <c r="AX75" s="34"/>
    </row>
    <row r="76" spans="16:51" ht="15" customHeight="1">
      <c r="AJ76" s="34"/>
      <c r="AK76" s="34"/>
      <c r="AL76" s="34"/>
      <c r="AM76" s="34"/>
      <c r="AN76" s="34"/>
      <c r="AO76" s="34"/>
      <c r="AP76" s="34"/>
      <c r="AQ76" s="34"/>
      <c r="AR76" s="34"/>
      <c r="AS76" s="34"/>
      <c r="AT76" s="34"/>
      <c r="AU76" s="34"/>
      <c r="AV76" s="34"/>
      <c r="AX76" s="34"/>
    </row>
    <row r="77" spans="16:51" ht="15" customHeight="1">
      <c r="AJ77" s="34"/>
      <c r="AK77" s="34"/>
      <c r="AL77" s="34"/>
      <c r="AM77" s="34"/>
      <c r="AN77" s="34"/>
      <c r="AO77" s="34"/>
      <c r="AP77" s="34"/>
      <c r="AQ77" s="34"/>
      <c r="AR77" s="34"/>
      <c r="AS77" s="34"/>
      <c r="AT77" s="34"/>
      <c r="AU77" s="34"/>
      <c r="AV77" s="34"/>
      <c r="AX77" s="34"/>
    </row>
    <row r="78" spans="16:51">
      <c r="AJ78" s="34"/>
      <c r="AK78" s="34"/>
      <c r="AL78" s="34"/>
      <c r="AM78" s="34"/>
      <c r="AN78" s="34"/>
      <c r="AO78" s="34"/>
      <c r="AP78" s="34"/>
      <c r="AQ78" s="34"/>
      <c r="AR78" s="34"/>
      <c r="AS78" s="34"/>
      <c r="AT78" s="34"/>
      <c r="AU78" s="34"/>
      <c r="AV78" s="34"/>
      <c r="AY78" s="34"/>
    </row>
    <row r="79" spans="16:51" ht="15" customHeight="1">
      <c r="AJ79" s="34"/>
      <c r="AK79" s="34"/>
      <c r="AL79" s="34"/>
      <c r="AM79" s="34"/>
      <c r="AN79" s="34"/>
      <c r="AO79" s="34"/>
      <c r="AP79" s="34"/>
      <c r="AQ79" s="34"/>
      <c r="AR79" s="34"/>
      <c r="AS79" s="34"/>
      <c r="AT79" s="34"/>
      <c r="AU79" s="34"/>
      <c r="AV79" s="34"/>
      <c r="AW79" s="34"/>
      <c r="AY79" s="34"/>
    </row>
    <row r="80" spans="16:51" ht="15" customHeight="1">
      <c r="AJ80" s="34"/>
      <c r="AK80" s="34"/>
      <c r="AL80" s="34"/>
      <c r="AM80" s="34"/>
      <c r="AN80" s="34"/>
      <c r="AO80" s="34"/>
      <c r="AP80" s="34"/>
      <c r="AQ80" s="34"/>
      <c r="AR80" s="34"/>
      <c r="AS80" s="34"/>
      <c r="AT80" s="34"/>
      <c r="AU80" s="34"/>
      <c r="AV80" s="34"/>
      <c r="AW80" s="34"/>
      <c r="AY80" s="34"/>
    </row>
    <row r="81" spans="36:51" ht="15" customHeight="1">
      <c r="AJ81" s="34"/>
      <c r="AK81" s="34"/>
      <c r="AL81" s="34"/>
      <c r="AM81" s="34"/>
      <c r="AN81" s="34"/>
      <c r="AO81" s="34"/>
      <c r="AP81" s="34"/>
      <c r="AQ81" s="34"/>
      <c r="AR81" s="34"/>
      <c r="AS81" s="34"/>
      <c r="AT81" s="34"/>
      <c r="AU81" s="34"/>
      <c r="AV81" s="34"/>
      <c r="AW81" s="34"/>
      <c r="AY81" s="34"/>
    </row>
    <row r="82" spans="36:51" ht="15" customHeight="1">
      <c r="AJ82" s="34"/>
      <c r="AK82" s="34"/>
      <c r="AL82" s="34"/>
      <c r="AM82" s="34"/>
      <c r="AN82" s="34"/>
      <c r="AO82" s="34"/>
      <c r="AP82" s="34"/>
      <c r="AQ82" s="34"/>
      <c r="AR82" s="34"/>
      <c r="AS82" s="34"/>
      <c r="AT82" s="34"/>
      <c r="AU82" s="34"/>
      <c r="AV82" s="34"/>
      <c r="AW82" s="34"/>
      <c r="AY82" s="34"/>
    </row>
    <row r="83" spans="36:51" ht="15" customHeight="1">
      <c r="AJ83" s="34"/>
      <c r="AK83" s="34"/>
      <c r="AL83" s="34"/>
      <c r="AM83" s="34"/>
      <c r="AN83" s="34"/>
      <c r="AO83" s="34"/>
      <c r="AP83" s="34"/>
      <c r="AQ83" s="34"/>
      <c r="AR83" s="34"/>
      <c r="AS83" s="34"/>
      <c r="AT83" s="34"/>
      <c r="AU83" s="34"/>
      <c r="AV83" s="34"/>
      <c r="AW83" s="34"/>
      <c r="AY83" s="34"/>
    </row>
    <row r="84" spans="36:51" ht="15" customHeight="1">
      <c r="AJ84" s="34"/>
      <c r="AK84" s="34"/>
      <c r="AL84" s="34"/>
      <c r="AM84" s="34"/>
      <c r="AN84" s="34"/>
      <c r="AO84" s="34"/>
      <c r="AP84" s="34"/>
      <c r="AQ84" s="34"/>
      <c r="AR84" s="34"/>
      <c r="AS84" s="34"/>
      <c r="AT84" s="34"/>
      <c r="AU84" s="34"/>
      <c r="AV84" s="34"/>
      <c r="AW84" s="34"/>
      <c r="AY84" s="34"/>
    </row>
    <row r="85" spans="36:51" ht="15" customHeight="1">
      <c r="AJ85" s="34"/>
      <c r="AK85" s="34"/>
      <c r="AL85" s="34"/>
      <c r="AM85" s="34"/>
      <c r="AN85" s="34"/>
      <c r="AO85" s="34"/>
      <c r="AP85" s="34"/>
      <c r="AQ85" s="34"/>
      <c r="AR85" s="34"/>
      <c r="AS85" s="34"/>
      <c r="AT85" s="34"/>
      <c r="AU85" s="34"/>
      <c r="AV85" s="34"/>
      <c r="AW85" s="34"/>
      <c r="AY85" s="34"/>
    </row>
    <row r="86" spans="36:51" ht="15" customHeight="1">
      <c r="AJ86" s="34"/>
      <c r="AK86" s="34"/>
      <c r="AL86" s="34"/>
      <c r="AM86" s="34"/>
      <c r="AN86" s="34"/>
      <c r="AO86" s="34"/>
      <c r="AP86" s="34"/>
      <c r="AQ86" s="34"/>
      <c r="AR86" s="34"/>
      <c r="AS86" s="34"/>
      <c r="AT86" s="34"/>
      <c r="AU86" s="34"/>
      <c r="AV86" s="34"/>
      <c r="AW86" s="34"/>
      <c r="AY86" s="34"/>
    </row>
    <row r="87" spans="36:51" ht="15" customHeight="1">
      <c r="AJ87" s="34"/>
      <c r="AK87" s="34"/>
      <c r="AL87" s="34"/>
      <c r="AM87" s="34"/>
      <c r="AN87" s="34"/>
      <c r="AO87" s="34"/>
      <c r="AP87" s="34"/>
      <c r="AQ87" s="34"/>
      <c r="AR87" s="34"/>
      <c r="AS87" s="34"/>
      <c r="AT87" s="34"/>
      <c r="AU87" s="34"/>
      <c r="AV87" s="34"/>
      <c r="AW87" s="34"/>
      <c r="AY87" s="34"/>
    </row>
    <row r="88" spans="36:51" ht="15" customHeight="1">
      <c r="AJ88" s="34"/>
      <c r="AK88" s="34"/>
      <c r="AL88" s="34"/>
      <c r="AM88" s="34"/>
      <c r="AN88" s="34"/>
      <c r="AO88" s="34"/>
      <c r="AP88" s="34"/>
      <c r="AQ88" s="34"/>
      <c r="AR88" s="34"/>
      <c r="AS88" s="34"/>
      <c r="AT88" s="34"/>
      <c r="AU88" s="34"/>
      <c r="AV88" s="34"/>
      <c r="AW88" s="34"/>
      <c r="AY88" s="34"/>
    </row>
    <row r="89" spans="36:51" ht="15" customHeight="1">
      <c r="AJ89" s="34"/>
      <c r="AK89" s="34"/>
      <c r="AL89" s="34"/>
      <c r="AM89" s="34"/>
      <c r="AN89" s="34"/>
      <c r="AO89" s="34"/>
      <c r="AP89" s="34"/>
      <c r="AQ89" s="34"/>
      <c r="AR89" s="34"/>
      <c r="AS89" s="34"/>
      <c r="AT89" s="34"/>
      <c r="AU89" s="34"/>
      <c r="AV89" s="34"/>
      <c r="AW89" s="34"/>
      <c r="AY89" s="34"/>
    </row>
    <row r="90" spans="36:51" ht="15" customHeight="1">
      <c r="AJ90" s="34"/>
      <c r="AK90" s="34"/>
      <c r="AL90" s="34"/>
      <c r="AM90" s="34"/>
      <c r="AN90" s="34"/>
      <c r="AO90" s="34"/>
      <c r="AP90" s="34"/>
      <c r="AQ90" s="34"/>
      <c r="AR90" s="34"/>
      <c r="AS90" s="34"/>
      <c r="AT90" s="34"/>
      <c r="AU90" s="34"/>
      <c r="AV90" s="34"/>
      <c r="AW90" s="34"/>
      <c r="AY90" s="34"/>
    </row>
    <row r="91" spans="36:51" ht="15" customHeight="1">
      <c r="AJ91" s="34"/>
      <c r="AK91" s="34"/>
      <c r="AL91" s="34"/>
      <c r="AM91" s="34"/>
      <c r="AN91" s="34"/>
      <c r="AO91" s="34"/>
      <c r="AP91" s="34"/>
      <c r="AQ91" s="34"/>
      <c r="AR91" s="34"/>
      <c r="AS91" s="34"/>
      <c r="AT91" s="34"/>
      <c r="AU91" s="34"/>
      <c r="AV91" s="34"/>
      <c r="AW91" s="34"/>
      <c r="AY91" s="34"/>
    </row>
    <row r="92" spans="36:51" ht="15" customHeight="1">
      <c r="AS92" s="34"/>
      <c r="AT92" s="34"/>
      <c r="AU92" s="34"/>
      <c r="AV92" s="34"/>
      <c r="AW92" s="34"/>
      <c r="AY92" s="34"/>
    </row>
    <row r="93" spans="36:51" ht="15" customHeight="1">
      <c r="AS93" s="34"/>
      <c r="AT93" s="34"/>
      <c r="AU93" s="34"/>
      <c r="AV93" s="34"/>
      <c r="AW93" s="34"/>
      <c r="AY93" s="34"/>
    </row>
    <row r="94" spans="36:51" ht="15" customHeight="1">
      <c r="AS94" s="34"/>
      <c r="AT94" s="34"/>
      <c r="AU94" s="34"/>
      <c r="AV94" s="34"/>
      <c r="AW94" s="34"/>
      <c r="AY94" s="34"/>
    </row>
    <row r="95" spans="36:51" ht="15" customHeight="1">
      <c r="AS95" s="34"/>
      <c r="AT95" s="34"/>
      <c r="AU95" s="34"/>
      <c r="AV95" s="34"/>
      <c r="AW95" s="34"/>
      <c r="AY95" s="34"/>
    </row>
    <row r="96" spans="36:51" ht="15.75" customHeight="1">
      <c r="AS96" s="34"/>
      <c r="AT96" s="34"/>
      <c r="AU96" s="34"/>
      <c r="AV96" s="34"/>
      <c r="AW96" s="34"/>
      <c r="AY96" s="34"/>
    </row>
    <row r="97" spans="45:51">
      <c r="AS97" s="34"/>
      <c r="AT97" s="34"/>
      <c r="AU97" s="34"/>
      <c r="AV97" s="34"/>
      <c r="AW97" s="34"/>
      <c r="AY97" s="34"/>
    </row>
    <row r="98" spans="45:51">
      <c r="AS98" s="34"/>
      <c r="AT98" s="34"/>
      <c r="AU98" s="34"/>
      <c r="AV98" s="34"/>
      <c r="AW98" s="34"/>
      <c r="AY98" s="34"/>
    </row>
    <row r="99" spans="45:51">
      <c r="AT99" s="50"/>
      <c r="AU99" s="50"/>
      <c r="AV99" s="50"/>
      <c r="AW99" s="34"/>
      <c r="AY99" s="34"/>
    </row>
    <row r="100" spans="45:51" ht="15" customHeight="1">
      <c r="AW100" s="34"/>
      <c r="AY100" s="34"/>
    </row>
    <row r="101" spans="45:51">
      <c r="AW101" s="34"/>
    </row>
    <row r="102" spans="45:51">
      <c r="AW102" s="50"/>
    </row>
  </sheetData>
  <dataConsolidate topLabels="1">
    <dataRefs count="1">
      <dataRef ref="C8:D86" sheet="AHU 1" r:id="rId1"/>
    </dataRefs>
  </dataConsolidate>
  <mergeCells count="4">
    <mergeCell ref="B3:I3"/>
    <mergeCell ref="J3:R3"/>
    <mergeCell ref="S3:AJ3"/>
    <mergeCell ref="AL3:AO3"/>
  </mergeCells>
  <phoneticPr fontId="13" type="noConversion"/>
  <conditionalFormatting sqref="AQ5">
    <cfRule type="cellIs" dxfId="962" priority="3" operator="greaterThan">
      <formula>#REF!</formula>
    </cfRule>
  </conditionalFormatting>
  <conditionalFormatting sqref="AP5">
    <cfRule type="cellIs" dxfId="961" priority="2" operator="greaterThan">
      <formula>#REF!</formula>
    </cfRule>
  </conditionalFormatting>
  <conditionalFormatting sqref="AM5:AM6">
    <cfRule type="dataBar" priority="59">
      <dataBar>
        <cfvo type="min"/>
        <cfvo type="max"/>
        <color rgb="FF638EC6"/>
      </dataBar>
      <extLst>
        <ext xmlns:x14="http://schemas.microsoft.com/office/spreadsheetml/2009/9/main" uri="{B025F937-C7B1-47D3-B67F-A62EFF666E3E}">
          <x14:id>{8F48CCA3-2395-490B-9322-FF904E0F9765}</x14:id>
        </ext>
      </extLst>
    </cfRule>
  </conditionalFormatting>
  <dataValidations count="4">
    <dataValidation type="whole" operator="greaterThan" allowBlank="1" showInputMessage="1" showErrorMessage="1" sqref="AN5:AO5" xr:uid="{2C826603-EAFD-4AAE-9F20-882A4446A8AE}">
      <formula1>-1</formula1>
    </dataValidation>
    <dataValidation type="whole" operator="greaterThan" allowBlank="1" showInputMessage="1" showErrorMessage="1" sqref="F5" xr:uid="{B3A111F1-8A33-4C11-913E-140CC35EA048}">
      <formula1>1</formula1>
    </dataValidation>
    <dataValidation type="decimal" operator="greaterThan" allowBlank="1" showInputMessage="1" showErrorMessage="1" sqref="G5" xr:uid="{C2C84CC5-1E8B-47D7-B43F-6797E0635F46}">
      <formula1>1</formula1>
    </dataValidation>
    <dataValidation type="whole" operator="greaterThan" allowBlank="1" showInputMessage="1" showErrorMessage="1" sqref="AM5" xr:uid="{9288F396-7B7D-4A1B-93B1-D049E4B0619B}">
      <formula1>0</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ignoredErrors>
    <ignoredError sqref="AM5 AN5:AO5" unlockedFormula="1"/>
    <ignoredError sqref="X5"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86029" r:id="rId5" name="Button 13">
              <controlPr defaultSize="0" print="0" autoFill="0" autoPict="0" macro="[0]!AddRowsToTableWithUserInput" altText="HUMIDIFICATION">
                <anchor moveWithCells="1" sizeWithCells="1">
                  <from>
                    <xdr:col>1</xdr:col>
                    <xdr:colOff>784860</xdr:colOff>
                    <xdr:row>0</xdr:row>
                    <xdr:rowOff>15240</xdr:rowOff>
                  </from>
                  <to>
                    <xdr:col>4</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8F48CCA3-2395-490B-9322-FF904E0F9765}">
            <x14:dataBar minLength="0" maxLength="100" border="1" negativeBarBorderColorSameAsPositive="0">
              <x14:cfvo type="autoMin"/>
              <x14:cfvo type="autoMax"/>
              <x14:borderColor rgb="FF638EC6"/>
              <x14:negativeFillColor rgb="FFFF0000"/>
              <x14:negativeBorderColor rgb="FFFF0000"/>
              <x14:axisColor rgb="FF000000"/>
            </x14:dataBar>
          </x14:cfRule>
          <xm:sqref>AM5:AM6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Title" prompt="Input message" xr:uid="{10FC0657-FF5F-4A06-9577-421757662B29}">
          <x14:formula1>
            <xm:f>'UMC Table 4-A'!$A$2:$A$132</xm:f>
          </x14:formula1>
          <xm:sqref>J5</xm:sqref>
        </x14:dataValidation>
        <x14:dataValidation type="list" allowBlank="1" showInputMessage="1" showErrorMessage="1" xr:uid="{88628EBF-4FDD-4838-8E7F-DCE08C28DC77}">
          <x14:formula1>
            <xm:f>'ASHRAE Table'!$J$2:$J$37</xm:f>
          </x14:formula1>
          <xm:sqref>S5</xm:sqref>
        </x14:dataValidation>
        <x14:dataValidation type="list" allowBlank="1" showInputMessage="1" showErrorMessage="1" xr:uid="{80938584-D353-43E0-9492-BAC4C343B750}">
          <x14:formula1>
            <xm:f>'ASHRAE Table'!$A$2:$A$93</xm:f>
          </x14:formula1>
          <xm:sqref>U5</xm:sqref>
        </x14:dataValidation>
        <x14:dataValidation type="list" allowBlank="1" showInputMessage="1" showErrorMessage="1" promptTitle="Title" prompt="Input message" xr:uid="{1CFE06CD-4F3B-4901-AC12-7B0C04E3082B}">
          <x14:formula1>
            <xm:f>'DO NOT TOUCH'!$E$22:$E$25</xm:f>
          </x14:formula1>
          <xm:sqref>K5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443B-C81C-4F7B-933B-0C22D15B7317}">
  <sheetPr codeName="Sheet8"/>
  <dimension ref="A2:W7"/>
  <sheetViews>
    <sheetView workbookViewId="0">
      <selection activeCell="H27" sqref="H27"/>
    </sheetView>
  </sheetViews>
  <sheetFormatPr defaultRowHeight="13.2"/>
  <cols>
    <col min="1" max="1" width="11.44140625" bestFit="1" customWidth="1"/>
    <col min="2" max="2" width="22.33203125" customWidth="1"/>
    <col min="3" max="3" width="38.44140625" customWidth="1"/>
    <col min="4" max="4" width="10.21875" bestFit="1" customWidth="1"/>
    <col min="5" max="5" width="11.77734375" bestFit="1" customWidth="1"/>
    <col min="6" max="6" width="19.6640625" customWidth="1"/>
    <col min="7" max="7" width="10.44140625" bestFit="1" customWidth="1"/>
    <col min="8" max="8" width="12.21875" bestFit="1" customWidth="1"/>
    <col min="9" max="9" width="9.77734375" bestFit="1" customWidth="1"/>
    <col min="10" max="10" width="12.21875" bestFit="1" customWidth="1"/>
    <col min="11" max="11" width="10.44140625" bestFit="1" customWidth="1"/>
    <col min="12" max="12" width="12" bestFit="1" customWidth="1"/>
    <col min="13" max="13" width="10.5546875" bestFit="1" customWidth="1"/>
    <col min="14" max="14" width="11.88671875" bestFit="1" customWidth="1"/>
    <col min="15" max="15" width="12.88671875" bestFit="1" customWidth="1"/>
    <col min="16" max="16" width="13.21875" bestFit="1" customWidth="1"/>
    <col min="17" max="17" width="13.33203125" bestFit="1" customWidth="1"/>
    <col min="23" max="23" width="0" hidden="1" customWidth="1"/>
  </cols>
  <sheetData>
    <row r="2" spans="1:23" ht="15.6">
      <c r="C2" s="91" t="s">
        <v>1063</v>
      </c>
      <c r="D2" s="368" t="s">
        <v>46</v>
      </c>
      <c r="W2" s="11" t="s">
        <v>108</v>
      </c>
    </row>
    <row r="3" spans="1:23">
      <c r="W3" s="11" t="s">
        <v>46</v>
      </c>
    </row>
    <row r="4" spans="1:23" ht="45">
      <c r="A4" s="99" t="s">
        <v>5</v>
      </c>
      <c r="B4" s="99" t="s">
        <v>47</v>
      </c>
      <c r="C4" s="99" t="s">
        <v>48</v>
      </c>
      <c r="D4" s="99" t="s">
        <v>49</v>
      </c>
      <c r="E4" s="99" t="s">
        <v>50</v>
      </c>
      <c r="F4" s="99" t="s">
        <v>51</v>
      </c>
      <c r="G4" s="99" t="s">
        <v>52</v>
      </c>
      <c r="H4" s="99" t="s">
        <v>53</v>
      </c>
      <c r="I4" s="99" t="s">
        <v>54</v>
      </c>
      <c r="J4" s="99" t="s">
        <v>55</v>
      </c>
      <c r="K4" s="99" t="s">
        <v>56</v>
      </c>
      <c r="L4" s="99" t="s">
        <v>57</v>
      </c>
      <c r="M4" s="99" t="s">
        <v>1</v>
      </c>
      <c r="N4" s="99" t="s">
        <v>1060</v>
      </c>
      <c r="O4" s="99" t="s">
        <v>58</v>
      </c>
      <c r="P4" s="99" t="s">
        <v>59</v>
      </c>
      <c r="Q4" s="99" t="s">
        <v>60</v>
      </c>
      <c r="R4" s="99" t="s">
        <v>61</v>
      </c>
    </row>
    <row r="5" spans="1:23" ht="15">
      <c r="A5" s="100" t="s">
        <v>62</v>
      </c>
      <c r="B5" s="100" t="s">
        <v>63</v>
      </c>
      <c r="C5" s="100" t="s">
        <v>64</v>
      </c>
      <c r="D5" s="91">
        <f ca="1">SUMIF(TABLE4A4398[ZONE],AHU_CAV_SCHEDULE441114[[#This Row],[ZONE]],TABLE4A4398[DESIGN SA (CFM)])</f>
        <v>2500</v>
      </c>
      <c r="E5" s="91">
        <f ca="1">IFERROR((VLOOKUP(D5,'DO NOT TOUCH'!$C$9:$D$14,2,TRUE)),"TBD")</f>
        <v>16</v>
      </c>
      <c r="F5" s="91">
        <v>0.5</v>
      </c>
      <c r="G5" s="91">
        <f>INPUT_OUTPUTS!$C$16</f>
        <v>140</v>
      </c>
      <c r="H5" s="91">
        <f>INPUT_OUTPUTS!$C$17</f>
        <v>110</v>
      </c>
      <c r="I5" s="91">
        <v>55</v>
      </c>
      <c r="J5" s="91">
        <v>85</v>
      </c>
      <c r="K5" s="91">
        <f ca="1">MROUND((1.08*(J5-I5)*D5)/1000,0.1)</f>
        <v>81</v>
      </c>
      <c r="L5" s="101">
        <f ca="1">(K5*1000)/(500*(G5-H5))</f>
        <v>5.4</v>
      </c>
      <c r="M5" s="101">
        <f ca="1">IF(L5&lt;0.5,0.5,L5)</f>
        <v>5.4</v>
      </c>
      <c r="N5" s="370">
        <f ca="1">IF($D$2 = "YES",(_xlfn.XLOOKUP(AHU_CAV_SCHEDULE441114[[#This Row],[GPM]],Hydronic_Pipe_Size[SOUND SENSITIVE],Hydronic_Pipe_Size[SIZE],"Not Found",1)),(_xlfn.XLOOKUP(AHU_CAV_SCHEDULE441114[[#This Row],[GPM]],Hydronic_Pipe_Size[GPM],Hydronic_Pipe_Size[SIZE],"Not Found",1)))</f>
        <v>1</v>
      </c>
      <c r="O5" s="101">
        <v>5</v>
      </c>
      <c r="P5" s="101">
        <f ca="1">IFERROR((_xlfn.XLOOKUP(E5,'DO NOT TOUCH'!$D$9:$D$14,'DO NOT TOUCH'!$E$9:$E$14,)),"TBD")</f>
        <v>60</v>
      </c>
      <c r="Q5" s="101">
        <f>INPUT_OUTPUTS!$C$19</f>
        <v>0</v>
      </c>
      <c r="R5" s="91" t="s">
        <v>65</v>
      </c>
    </row>
    <row r="6" spans="1:23" ht="15">
      <c r="A6" s="100" t="s">
        <v>67</v>
      </c>
      <c r="B6" s="100" t="s">
        <v>63</v>
      </c>
      <c r="C6" s="100" t="s">
        <v>64</v>
      </c>
      <c r="D6" s="91">
        <f>SUMIF(TABLE4A4398[ZONE],AHU_CAV_SCHEDULE441114[[#This Row],[ZONE]],TABLE4A4398[DESIGN SA (CFM)])</f>
        <v>0</v>
      </c>
      <c r="E6" s="91" t="str">
        <f>IFERROR((VLOOKUP(D6,'DO NOT TOUCH'!$C$9:$D$14,2,TRUE)),"TBD")</f>
        <v>TBD</v>
      </c>
      <c r="F6" s="91">
        <f>F5</f>
        <v>0.5</v>
      </c>
      <c r="G6" s="91">
        <f>INPUT_OUTPUTS!$C$16</f>
        <v>140</v>
      </c>
      <c r="H6" s="91">
        <f>INPUT_OUTPUTS!$C$17</f>
        <v>110</v>
      </c>
      <c r="I6" s="91">
        <f>I5</f>
        <v>55</v>
      </c>
      <c r="J6" s="91">
        <f>J5</f>
        <v>85</v>
      </c>
      <c r="K6" s="91">
        <f>MROUND((1.08*(J6-I6)*D6)/1000,0.1)</f>
        <v>0</v>
      </c>
      <c r="L6" s="101">
        <f>(K6*1000)/(500*(G6-H6))</f>
        <v>0</v>
      </c>
      <c r="M6" s="101">
        <f>IF(L6&lt;0.5,0.5,L6)</f>
        <v>0.5</v>
      </c>
      <c r="N6" s="370">
        <f>IF($D$2 = "YES",(_xlfn.XLOOKUP(AHU_CAV_SCHEDULE441114[[#This Row],[GPM]],Hydronic_Pipe_Size[SOUND SENSITIVE],Hydronic_Pipe_Size[SIZE],"Not Found",1)),(_xlfn.XLOOKUP(AHU_CAV_SCHEDULE441114[[#This Row],[GPM]],Hydronic_Pipe_Size[GPM],Hydronic_Pipe_Size[SIZE],"Not Found",1)))</f>
        <v>0.75</v>
      </c>
      <c r="O6" s="101">
        <f>O5</f>
        <v>5</v>
      </c>
      <c r="P6" s="101" t="str">
        <f>IFERROR((_xlfn.XLOOKUP(E6,'DO NOT TOUCH'!$D$9:$D$14,'DO NOT TOUCH'!$E$9:$E$14,)),"TBD")</f>
        <v>TBD</v>
      </c>
      <c r="Q6" s="101">
        <f>INPUT_OUTPUTS!$C$19</f>
        <v>0</v>
      </c>
      <c r="R6" s="91" t="str">
        <f>R5</f>
        <v>1, 2</v>
      </c>
    </row>
    <row r="7" spans="1:23" ht="15">
      <c r="A7" s="106" t="s">
        <v>74</v>
      </c>
      <c r="B7" s="107"/>
      <c r="C7" s="107"/>
      <c r="D7" s="108"/>
      <c r="E7" s="108"/>
      <c r="F7" s="108"/>
      <c r="G7" s="108"/>
      <c r="H7" s="108"/>
      <c r="I7" s="108"/>
      <c r="J7" s="108"/>
      <c r="K7" s="108">
        <f ca="1">SUBTOTAL(109,AHU_CAV_SCHEDULE441114[MIN MBH])</f>
        <v>81</v>
      </c>
      <c r="L7" s="108"/>
      <c r="M7" s="109">
        <f ca="1">SUBTOTAL(109,AHU_CAV_SCHEDULE441114[GPM])</f>
        <v>5.9</v>
      </c>
      <c r="N7" s="109"/>
      <c r="O7" s="108"/>
      <c r="P7" s="108"/>
      <c r="Q7" s="108"/>
      <c r="R7" s="110"/>
    </row>
  </sheetData>
  <dataValidations disablePrompts="1" count="1">
    <dataValidation type="list" allowBlank="1" showInputMessage="1" showErrorMessage="1" sqref="D2" xr:uid="{2FEA1AB8-4323-4CB2-857F-9F47BEBF0A3E}">
      <formula1>$W$2:$W$3</formula1>
    </dataValidation>
  </dataValidations>
  <pageMargins left="0.7" right="0.7" top="0.75" bottom="0.75" header="0.3" footer="0.3"/>
  <ignoredErrors>
    <ignoredError sqref="D5 F5" calculatedColumn="1"/>
  </ignoredErrors>
  <drawing r:id="rId1"/>
  <legacyDrawing r:id="rId2"/>
  <mc:AlternateContent xmlns:mc="http://schemas.openxmlformats.org/markup-compatibility/2006">
    <mc:Choice Requires="x14">
      <controls>
        <mc:AlternateContent xmlns:mc="http://schemas.openxmlformats.org/markup-compatibility/2006">
          <mc:Choice Requires="x14">
            <control shapeId="120834" r:id="rId3" name="Button 2">
              <controlPr defaultSize="0" print="0" autoFill="0" autoPict="0" macro="[0]!AddRowsToTableWithUserInput" altText="HUMIDIFICATION">
                <anchor moveWithCells="1" sizeWithCells="1">
                  <from>
                    <xdr:col>0</xdr:col>
                    <xdr:colOff>335280</xdr:colOff>
                    <xdr:row>0</xdr:row>
                    <xdr:rowOff>76200</xdr:rowOff>
                  </from>
                  <to>
                    <xdr:col>1</xdr:col>
                    <xdr:colOff>876300</xdr:colOff>
                    <xdr:row>2</xdr:row>
                    <xdr:rowOff>106680</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BA322-44DE-4608-BCEE-FEF4FA3604A8}">
  <sheetPr codeName="Sheet21">
    <pageSetUpPr fitToPage="1"/>
  </sheetPr>
  <dimension ref="A1:AO18"/>
  <sheetViews>
    <sheetView showGridLines="0" zoomScale="82" zoomScaleNormal="100" workbookViewId="0">
      <selection activeCell="F31" sqref="F31"/>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1.44140625" bestFit="1" customWidth="1"/>
    <col min="12" max="12" width="40.44140625" bestFit="1"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1" s="291" customFormat="1" ht="17.399999999999999">
      <c r="Q1" s="505" t="s">
        <v>677</v>
      </c>
      <c r="R1" s="505"/>
      <c r="S1" s="292">
        <v>100</v>
      </c>
      <c r="T1" s="505" t="s">
        <v>741</v>
      </c>
      <c r="U1" s="505"/>
      <c r="V1" s="292" t="s">
        <v>744</v>
      </c>
      <c r="W1" s="293" t="s">
        <v>745</v>
      </c>
      <c r="X1" s="294"/>
      <c r="Z1" s="505" t="s">
        <v>880</v>
      </c>
      <c r="AA1" s="505"/>
      <c r="AB1" s="294">
        <v>0</v>
      </c>
    </row>
    <row r="3" spans="1:41">
      <c r="A3" s="503" t="s">
        <v>75</v>
      </c>
      <c r="B3" s="504"/>
      <c r="C3" s="504"/>
      <c r="D3" s="504"/>
      <c r="E3" s="504"/>
      <c r="F3" s="504"/>
      <c r="G3" s="504"/>
      <c r="H3" s="504"/>
      <c r="I3" s="504"/>
      <c r="J3" s="503" t="s">
        <v>76</v>
      </c>
      <c r="K3" s="503"/>
      <c r="L3" s="503"/>
      <c r="M3" s="503"/>
      <c r="N3" s="503"/>
      <c r="O3" s="503"/>
      <c r="P3" s="503"/>
      <c r="Q3" s="503"/>
      <c r="R3" s="503"/>
      <c r="S3" s="503"/>
      <c r="T3" s="503"/>
      <c r="U3" s="503"/>
      <c r="V3" s="503"/>
      <c r="W3" s="503"/>
      <c r="X3" s="503"/>
      <c r="Y3" s="503"/>
      <c r="Z3" s="503"/>
      <c r="AA3" s="503"/>
      <c r="AB3" s="503"/>
      <c r="AC3" s="503"/>
      <c r="AD3" s="503"/>
      <c r="AE3" s="503"/>
      <c r="AF3" s="503"/>
      <c r="AG3" s="503"/>
      <c r="AH3" s="503"/>
      <c r="AI3" s="503"/>
      <c r="AJ3" s="503"/>
      <c r="AK3" s="503" t="s">
        <v>749</v>
      </c>
      <c r="AL3" s="504"/>
      <c r="AM3" s="504"/>
    </row>
    <row r="4" spans="1:41" s="11" customFormat="1" ht="46.8">
      <c r="A4" s="305" t="s">
        <v>77</v>
      </c>
      <c r="B4" s="305" t="s">
        <v>1076</v>
      </c>
      <c r="C4" s="305" t="s">
        <v>78</v>
      </c>
      <c r="D4" s="305" t="s">
        <v>79</v>
      </c>
      <c r="E4" s="297" t="s">
        <v>80</v>
      </c>
      <c r="F4" s="297" t="s">
        <v>732</v>
      </c>
      <c r="G4" s="297" t="s">
        <v>2694</v>
      </c>
      <c r="H4" s="297" t="s">
        <v>82</v>
      </c>
      <c r="I4" s="297" t="s">
        <v>879</v>
      </c>
      <c r="J4" s="297" t="s">
        <v>878</v>
      </c>
      <c r="K4" s="297" t="s">
        <v>2687</v>
      </c>
      <c r="L4" s="297" t="s">
        <v>2689</v>
      </c>
      <c r="M4" s="297" t="s">
        <v>2688</v>
      </c>
      <c r="N4" s="297" t="s">
        <v>2690</v>
      </c>
      <c r="O4" s="297" t="s">
        <v>2692</v>
      </c>
      <c r="P4" s="297" t="s">
        <v>2691</v>
      </c>
      <c r="Q4" s="297" t="s">
        <v>2693</v>
      </c>
      <c r="R4" s="297" t="s">
        <v>1092</v>
      </c>
      <c r="S4" s="297" t="s">
        <v>29</v>
      </c>
      <c r="T4" s="297" t="s">
        <v>30</v>
      </c>
      <c r="U4" s="296" t="s">
        <v>31</v>
      </c>
      <c r="V4" s="296" t="s">
        <v>32</v>
      </c>
      <c r="W4" s="296" t="s">
        <v>33</v>
      </c>
      <c r="X4" s="296" t="s">
        <v>84</v>
      </c>
      <c r="Y4" s="296" t="s">
        <v>85</v>
      </c>
      <c r="Z4" s="296" t="s">
        <v>86</v>
      </c>
      <c r="AA4" s="296" t="s">
        <v>34</v>
      </c>
      <c r="AB4" s="296" t="s">
        <v>87</v>
      </c>
      <c r="AC4" s="296" t="s">
        <v>35</v>
      </c>
      <c r="AD4" s="296" t="s">
        <v>88</v>
      </c>
      <c r="AE4" s="296" t="s">
        <v>739</v>
      </c>
      <c r="AF4" s="296" t="s">
        <v>734</v>
      </c>
      <c r="AG4" s="297" t="s">
        <v>36</v>
      </c>
      <c r="AH4" s="297" t="s">
        <v>37</v>
      </c>
      <c r="AI4" s="297" t="s">
        <v>38</v>
      </c>
      <c r="AJ4" s="296" t="s">
        <v>89</v>
      </c>
      <c r="AK4" s="296" t="s">
        <v>733</v>
      </c>
      <c r="AL4" s="296" t="s">
        <v>90</v>
      </c>
      <c r="AM4" s="296" t="s">
        <v>91</v>
      </c>
      <c r="AN4" s="297" t="s">
        <v>672</v>
      </c>
      <c r="AO4" s="305" t="s">
        <v>93</v>
      </c>
    </row>
    <row r="5" spans="1:41" ht="15.6">
      <c r="A5" s="298" t="s">
        <v>99</v>
      </c>
      <c r="B5" s="298"/>
      <c r="C5" s="298">
        <v>102</v>
      </c>
      <c r="D5" s="298" t="s">
        <v>735</v>
      </c>
      <c r="E5" s="298">
        <v>200</v>
      </c>
      <c r="F5" s="298">
        <v>0</v>
      </c>
      <c r="G5" s="298">
        <v>9</v>
      </c>
      <c r="H5" s="299" t="e">
        <f>IF((VLOOKUP(Ahu_Ashrae_Generic34[[#This Row],[Room Name]],Ashrae90.1Vent[#All],7,FALSE)) = "YES",MROUND(E5/2,5),MROUND(E5,5))</f>
        <v>#N/A</v>
      </c>
      <c r="I5" s="298"/>
      <c r="J5" s="298">
        <v>250</v>
      </c>
      <c r="K5" s="298" t="s">
        <v>2293</v>
      </c>
      <c r="L5" s="298" t="s">
        <v>2298</v>
      </c>
      <c r="M5" s="300" t="str" cm="1">
        <f t="array" ref="M5">INDEX(VA_Room_Data_Sheets[ROOM CODE], MATCH(1, (Ahu_Ashrae_Generic34[[#This Row],[Category]]=VA_Room_Data_Sheets[CATEGORY]) * (Ahu_Ashrae_Generic34[[#This Row],[Room Name]]=VA_Room_Data_Sheets[ROOM NAME]), 0))</f>
        <v>CSDE1</v>
      </c>
      <c r="N5" s="300" cm="1">
        <f t="array" ref="N5">INDEX(VA_Room_Data_Sheets[Minimum Total ACH], MATCH(1, (Ahu_Ashrae_Generic34[[#This Row],[Category]]=VA_Room_Data_Sheets[CATEGORY]) * (Ahu_Ashrae_Generic34[[#This Row],[Room Name]]=VA_Room_Data_Sheets[ROOM NAME]), 0))</f>
        <v>6</v>
      </c>
      <c r="O5" s="300" cm="1">
        <f t="array" aca="1" ref="O5" ca="1">ACH_to_CFM(Ahu_Ashrae_Generic34[[#This Row],[Min Total ACH]],Ahu_Ashrae_Generic34[[#This Row],[AREA (FT²)]],Ahu_Ashrae_Generic34[[#This Row],[Room Height]])</f>
        <v>180</v>
      </c>
      <c r="P5" s="300" cm="1">
        <f t="array" ref="P5">INDEX(VA_Room_Data_Sheets[Minimum OA ACH], MATCH(1, (Ahu_Ashrae_Generic34[[#This Row],[Category]]=VA_Room_Data_Sheets[CATEGORY]) * (Ahu_Ashrae_Generic34[[#This Row],[Room Name]]=VA_Room_Data_Sheets[ROOM NAME]), 0))</f>
        <v>6</v>
      </c>
      <c r="Q5" s="300" cm="1">
        <f t="array" aca="1" ref="Q5" ca="1">ACH_to_CFM(Ahu_Ashrae_Generic34[[#This Row],[Min OA ACH]],Ahu_Ashrae_Generic34[[#This Row],[AREA (FT²)]],Ahu_Ashrae_Generic34[[#This Row],[Room Height]])</f>
        <v>180</v>
      </c>
      <c r="R5" s="300" t="str" cm="1">
        <f t="array" ref="R5">INDEX(VA_Room_Data_Sheets[Room Air Balance], MATCH(1, (Ahu_Ashrae_Generic34[[#This Row],[Category]]=VA_Room_Data_Sheets[CATEGORY]) * (Ahu_Ashrae_Generic34[[#This Row],[Room Name]]=VA_Room_Data_Sheets[ROOM NAME]), 0))</f>
        <v>(--)</v>
      </c>
      <c r="S5" s="300">
        <f ca="1">CEILING((O5/1000)*E5,1)</f>
        <v>36</v>
      </c>
      <c r="T5" s="301" t="e">
        <f ca="1">IF(($S$1/Ahu_Ashrae_Generic34[[#Totals],[Occupants (Pz)]])&gt;1,1,$S$1/Ahu_Ashrae_Generic34[[#Totals],[Occupants (Pz)]])</f>
        <v>#VALUE!</v>
      </c>
      <c r="U5" s="302" t="e">
        <f ca="1">(Ahu_Ashrae_Generic34[[#This Row],[DIVERSITY (D)]]*Ahu_Ashrae_Generic34[[#This Row],[Room Code]]*Ahu_Ashrae_Generic34[[#This Row],[Occupants (Pz)]])+(Ahu_Ashrae_Generic34[[#This Row],[Min Total ACH]]*Ahu_Ashrae_Generic34[[#This Row],[AREA (FT²)]])</f>
        <v>#VALUE!</v>
      </c>
      <c r="V5" s="301" t="e">
        <f ca="1">IF(Ahu_Ashrae_Generic34[[#This Row],[DIVERSITY (D)]]&lt;0.6,(0.88*Ahu_Ashrae_Generic34[[#This Row],[DIVERSITY (D)]]+0.22),0.75)</f>
        <v>#VALUE!</v>
      </c>
      <c r="W5" s="302" t="e">
        <f ca="1">Ahu_Ashrae_Generic34[[#This Row],[Uncorrected OA (Vou)]]/Ahu_Ashrae_Generic34[[#This Row],[System Efficiency (Ev)]]</f>
        <v>#VALUE!</v>
      </c>
      <c r="X5" s="302" t="e">
        <f ca="1">(Ahu_Ashrae_Generic34[[#This Row],[Room Code]]*Ahu_Ashrae_Generic34[[#This Row],[Occupants (Pz)]])+(Ahu_Ashrae_Generic34[[#This Row],[Min Total ACH]]*Ahu_Ashrae_Generic34[[#This Row],[AREA (FT²)]])</f>
        <v>#VALUE!</v>
      </c>
      <c r="Y5" s="298">
        <v>0.8</v>
      </c>
      <c r="Z5" s="302" t="e">
        <f ca="1">Ahu_Ashrae_Generic34[[#This Row],[Breathing Zone OA (Vbz)]]/Ahu_Ashrae_Generic34[[#This Row],[Zone Efficiency (Ez)]]</f>
        <v>#VALUE!</v>
      </c>
      <c r="AA5" s="303" t="s">
        <v>46</v>
      </c>
      <c r="AB5" s="300" t="str" cm="1">
        <f t="array" aca="1" ref="AB5" ca="1">corequirement(Ahu_Ashrae_Generic34[[#This Row],[AREA (FT²)]],Ahu_Ashrae_Generic34[[#This Row],[EXHAUST RECOVERY]],INPUT_OUTPUTS!$C$6,Ahu_Ashrae_Generic34[[#This Row],[Min OA ACH]])</f>
        <v>NO</v>
      </c>
      <c r="AC5" s="302" t="e">
        <f>VLOOKUP(Ahu_Ashrae_Generic34[[#This Row],[Room Name]],Ashrae90.1Vent[#All],6,FALSE)</f>
        <v>#N/A</v>
      </c>
      <c r="AD5" s="302" t="e">
        <f ca="1">IF(Ahu_Ashrae_Generic34[[#This Row],[CO2 SENSOR]]="YES",IF(Ahu_Ashrae_Generic34[[#This Row],[OS]]="NO",Ahu_Ashrae_Generic34[[#This Row],[Min OA CFM]],0),IF(Ahu_Ashrae_Generic34[[#This Row],[OS]]="YES",Ahu_Ashrae_Generic34[[#This Row],[Min OA ACH]],Ahu_Ashrae_Generic34[[#This Row],[OUTSIDE AIRFLOW (CFM) (Vot)]]))</f>
        <v>#N/A</v>
      </c>
      <c r="AE5" s="304">
        <v>100</v>
      </c>
      <c r="AF5" s="302" t="str">
        <f>IF(Ahu_Ashrae_Generic34[[#This Row],[Category]] = "NOT APPLICABLE","NR","YES")</f>
        <v>YES</v>
      </c>
      <c r="AG5" s="302" t="e">
        <f>IF(Ahu_Ashrae_Generic34[[#This Row],[Category]]="NOT APPLICABLE","NA",VLOOKUP(Ahu_Ashrae_Generic34[[#This Row],[Category]],ASHRAE_EA_Table[#All],2,FALSE))</f>
        <v>#N/A</v>
      </c>
      <c r="AH5" s="302" t="e">
        <f>IF(Ahu_Ashrae_Generic34[[#This Row],[Category]]="NOT APPLICABLE","NA",VLOOKUP(Ahu_Ashrae_Generic34[[#This Row],[Category]],ASHRAE_EA_Table[#All],3,FALSE))</f>
        <v>#N/A</v>
      </c>
      <c r="AI5" s="300">
        <f>Ahu_Ashrae_Generic34[[#This Row],[Misc Exhaust From Room]]+(IFERROR(IF(Ahu_Ashrae_Generic34[[#This Row],[EA RATE
(CFM/UNIT)]] = "NA",Ahu_Ashrae_Generic34[[#This Row],[EA RATE
(CFM/FT²)]]*Ahu_Ashrae_Generic34[[#This Row],[AREA (FT²)]],Ahu_Ashrae_Generic34[[#This Row],[EA RATE
(CFM/UNIT)]]*Ahu_Ashrae_Generic34[[#This Row],[Room Height]]),0))</f>
        <v>100</v>
      </c>
      <c r="AJ5" s="302"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5" s="302" t="e" cm="1">
        <f t="array" ref="AK5">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5" s="304" t="e">
        <f>Ahu_Ashrae_Generic34[[#This Row],[Calculated VAV Max CFM]]</f>
        <v>#VALUE!</v>
      </c>
      <c r="AM5" s="298" t="e" cm="1">
        <f t="array" ref="AM5">Returnair(Ahu_Ashrae_Generic34[[#This Row],[Calculated VAV Max CFM]],Ahu_Ashrae_Generic34[[#This Row],[Desired Room Balance]],Ahu_Ashrae_Generic34[[#This Row],[Exhausted?]],Ahu_Ashrae_Generic34[[#This Row],[Misc Exhaust From Room]])</f>
        <v>#VALUE!</v>
      </c>
      <c r="AN5" s="298" t="e" cm="1">
        <f t="array" ref="AN5">Exhaustair(Ahu_Ashrae_Generic34[[#This Row],[DESIGN VAV MAX SA(CFM)]],Ahu_Ashrae_Generic34[[#This Row],[Exhausted?]],Ahu_Ashrae_Generic34[[#This Row],[MIN ASHRAE EA
(CFM)]],Ahu_Ashrae_Generic34[[#This Row],[Desired Room Balance]],Ahu_Ashrae_Generic34[[#This Row],[Misc Exhaust From Room]])</f>
        <v>#VALUE!</v>
      </c>
      <c r="AO5" s="295" t="e">
        <f ca="1">Ahu_Ashrae_Generic34[[#This Row],[OUTSIDE AIRFLOW (CFM) (Vot)]]/Ahu_Ashrae_Generic34[[#This Row],[DESIGN VAV MAX SA(CFM)]]</f>
        <v>#VALUE!</v>
      </c>
    </row>
    <row r="6" spans="1:41" ht="15.6">
      <c r="A6" s="92" t="s">
        <v>99</v>
      </c>
      <c r="B6" s="92"/>
      <c r="C6" s="92">
        <v>102</v>
      </c>
      <c r="D6" s="92" t="s">
        <v>738</v>
      </c>
      <c r="E6" s="92">
        <v>550</v>
      </c>
      <c r="F6" s="92">
        <v>0</v>
      </c>
      <c r="G6" s="92"/>
      <c r="H6" s="111" t="e">
        <f>IF((VLOOKUP(Ahu_Ashrae_Generic34[[#This Row],[Room Name]],Ashrae90.1Vent[#All],7,FALSE)) = "YES",MROUND(E6/2,5),MROUND(E6,5))</f>
        <v>#N/A</v>
      </c>
      <c r="I6" s="92"/>
      <c r="J6" s="92">
        <v>500</v>
      </c>
      <c r="K6" s="92" t="s">
        <v>1288</v>
      </c>
      <c r="L6" s="92" t="s">
        <v>1338</v>
      </c>
      <c r="M6" s="94" t="str" cm="1">
        <f t="array" ref="M6">INDEX(VA_Room_Data_Sheets[ROOM CODE], MATCH(1, (Ahu_Ashrae_Generic34[[#This Row],[Category]]=VA_Room_Data_Sheets[CATEGORY]) * (Ahu_Ashrae_Generic34[[#This Row],[Room Name]]=VA_Room_Data_Sheets[ROOM NAME]), 0))</f>
        <v>SPSU1</v>
      </c>
      <c r="N6" s="94" cm="1">
        <f t="array" ref="N6">INDEX(VA_Room_Data_Sheets[Minimum Total ACH], MATCH(1, (Ahu_Ashrae_Generic34[[#This Row],[Category]]=VA_Room_Data_Sheets[CATEGORY]) * (Ahu_Ashrae_Generic34[[#This Row],[Room Name]]=VA_Room_Data_Sheets[ROOM NAME]), 0))</f>
        <v>10</v>
      </c>
      <c r="O6" s="94" t="e" cm="1">
        <f t="array" aca="1" ref="O6" ca="1">ACH_to_CFM(Ahu_Ashrae_Generic34[[#This Row],[Min Total ACH]],Ahu_Ashrae_Generic34[[#This Row],[AREA (FT²)]],Ahu_Ashrae_Generic34[[#This Row],[Room Height]])</f>
        <v>#VALUE!</v>
      </c>
      <c r="P6" s="300" t="str" cm="1">
        <f t="array" ref="P6">INDEX(VA_Room_Data_Sheets[Minimum OA ACH], MATCH(1, (Ahu_Ashrae_Generic34[[#This Row],[Category]]=VA_Room_Data_Sheets[CATEGORY]) * (Ahu_Ashrae_Generic34[[#This Row],[Room Name]]=VA_Room_Data_Sheets[ROOM NAME]), 0))</f>
        <v>NA</v>
      </c>
      <c r="Q6" s="94" t="e" cm="1">
        <f t="array" ref="Q6">ACH_to_CFM(Ahu_Ashrae_Generic34[[#This Row],[Min OA ACH]],Ahu_Ashrae_Generic34[[#This Row],[AREA (FT²)]],Ahu_Ashrae_Generic34[[#This Row],[Room Height]])</f>
        <v>#VALUE!</v>
      </c>
      <c r="R6" s="94" t="str" cm="1">
        <f t="array" ref="R6">INDEX(VA_Room_Data_Sheets[Room Air Balance], MATCH(1, (Ahu_Ashrae_Generic34[[#This Row],[Category]]=VA_Room_Data_Sheets[CATEGORY]) * (Ahu_Ashrae_Generic34[[#This Row],[Room Name]]=VA_Room_Data_Sheets[ROOM NAME]), 0))</f>
        <v>(--)</v>
      </c>
      <c r="S6" s="94" t="e">
        <f ca="1">CEILING((O6/1000)*E6,1)</f>
        <v>#VALUE!</v>
      </c>
      <c r="T6" s="96" t="e">
        <f ca="1">IF(($S$1/Ahu_Ashrae_Generic34[[#Totals],[Occupants (Pz)]])&gt;1,1,$S$1/Ahu_Ashrae_Generic34[[#Totals],[Occupants (Pz)]])</f>
        <v>#VALUE!</v>
      </c>
      <c r="U6" s="95" t="e">
        <f ca="1">(Ahu_Ashrae_Generic34[[#This Row],[DIVERSITY (D)]]*Ahu_Ashrae_Generic34[[#This Row],[Room Code]]*Ahu_Ashrae_Generic34[[#This Row],[Occupants (Pz)]])+(Ahu_Ashrae_Generic34[[#This Row],[Min Total ACH]]*Ahu_Ashrae_Generic34[[#This Row],[AREA (FT²)]])</f>
        <v>#VALUE!</v>
      </c>
      <c r="V6" s="96" t="e">
        <f ca="1">IF(Ahu_Ashrae_Generic34[[#This Row],[DIVERSITY (D)]]&lt;0.6,(0.88*Ahu_Ashrae_Generic34[[#This Row],[DIVERSITY (D)]]+0.22),0.75)</f>
        <v>#VALUE!</v>
      </c>
      <c r="W6" s="95" t="e">
        <f ca="1">Ahu_Ashrae_Generic34[[#This Row],[Uncorrected OA (Vou)]]/Ahu_Ashrae_Generic34[[#This Row],[System Efficiency (Ev)]]</f>
        <v>#VALUE!</v>
      </c>
      <c r="X6" s="95" t="e">
        <f ca="1">(Ahu_Ashrae_Generic34[[#This Row],[Room Code]]*Ahu_Ashrae_Generic34[[#This Row],[Occupants (Pz)]])+(Ahu_Ashrae_Generic34[[#This Row],[Min Total ACH]]*Ahu_Ashrae_Generic34[[#This Row],[AREA (FT²)]])</f>
        <v>#VALUE!</v>
      </c>
      <c r="Y6" s="287">
        <v>0.8</v>
      </c>
      <c r="Z6" s="95" t="e">
        <f ca="1">Ahu_Ashrae_Generic34[[#This Row],[Breathing Zone OA (Vbz)]]/Ahu_Ashrae_Generic34[[#This Row],[Zone Efficiency (Ez)]]</f>
        <v>#VALUE!</v>
      </c>
      <c r="AA6" s="286" t="s">
        <v>46</v>
      </c>
      <c r="AB6" s="300" t="e" cm="1">
        <f t="array" ref="AB6">corequirement(Ahu_Ashrae_Generic34[[#This Row],[AREA (FT²)]],Ahu_Ashrae_Generic34[[#This Row],[EXHAUST RECOVERY]],INPUT_OUTPUTS!$C$6,Ahu_Ashrae_Generic34[[#This Row],[Min OA ACH]])</f>
        <v>#VALUE!</v>
      </c>
      <c r="AC6" s="95" t="e">
        <f>VLOOKUP(Ahu_Ashrae_Generic34[[#This Row],[Room Name]],Ashrae90.1Vent[#All],6,FALSE)</f>
        <v>#N/A</v>
      </c>
      <c r="AD6" s="95" t="e">
        <f>IF(Ahu_Ashrae_Generic34[[#This Row],[CO2 SENSOR]]="YES",IF(Ahu_Ashrae_Generic34[[#This Row],[OS]]="NO",Ahu_Ashrae_Generic34[[#This Row],[Min OA CFM]],0),IF(Ahu_Ashrae_Generic34[[#This Row],[OS]]="YES",Ahu_Ashrae_Generic34[[#This Row],[Min OA ACH]],Ahu_Ashrae_Generic34[[#This Row],[OUTSIDE AIRFLOW (CFM) (Vot)]]))</f>
        <v>#VALUE!</v>
      </c>
      <c r="AE6" s="139">
        <v>0</v>
      </c>
      <c r="AF6" s="95" t="str">
        <f>IF(Ahu_Ashrae_Generic34[[#This Row],[Category]] = "NOT APPLICABLE","NR","YES")</f>
        <v>YES</v>
      </c>
      <c r="AG6" s="95" t="e">
        <f>IF(Ahu_Ashrae_Generic34[[#This Row],[Category]]="NOT APPLICABLE","NA",VLOOKUP(Ahu_Ashrae_Generic34[[#This Row],[Category]],ASHRAE_EA_Table[#All],2,FALSE))</f>
        <v>#N/A</v>
      </c>
      <c r="AH6" s="95" t="e">
        <f>IF(Ahu_Ashrae_Generic34[[#This Row],[Category]]="NOT APPLICABLE","NA",VLOOKUP(Ahu_Ashrae_Generic34[[#This Row],[Category]],ASHRAE_EA_Table[#All],3,FALSE))</f>
        <v>#N/A</v>
      </c>
      <c r="AI6"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6"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6" s="95" t="e" cm="1">
        <f t="array" ref="AK6">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6" s="139" t="e">
        <f>Ahu_Ashrae_Generic34[[#This Row],[Calculated VAV Max CFM]]</f>
        <v>#VALUE!</v>
      </c>
      <c r="AM6" s="92" t="e" cm="1">
        <f t="array" ref="AM6">Returnair(Ahu_Ashrae_Generic34[[#This Row],[Calculated VAV Max CFM]],Ahu_Ashrae_Generic34[[#This Row],[Desired Room Balance]],Ahu_Ashrae_Generic34[[#This Row],[Exhausted?]],Ahu_Ashrae_Generic34[[#This Row],[Misc Exhaust From Room]])</f>
        <v>#VALUE!</v>
      </c>
      <c r="AN6" s="92" t="e" cm="1">
        <f t="array" ref="AN6">Exhaustair(Ahu_Ashrae_Generic34[[#This Row],[DESIGN VAV MAX SA(CFM)]],Ahu_Ashrae_Generic34[[#This Row],[Exhausted?]],Ahu_Ashrae_Generic34[[#This Row],[MIN ASHRAE EA
(CFM)]],Ahu_Ashrae_Generic34[[#This Row],[Desired Room Balance]],Ahu_Ashrae_Generic34[[#This Row],[Misc Exhaust From Room]])</f>
        <v>#VALUE!</v>
      </c>
      <c r="AO6" s="69" t="e">
        <f ca="1">Ahu_Ashrae_Generic34[[#This Row],[OUTSIDE AIRFLOW (CFM) (Vot)]]/Ahu_Ashrae_Generic34[[#This Row],[DESIGN VAV MAX SA(CFM)]]</f>
        <v>#VALUE!</v>
      </c>
    </row>
    <row r="7" spans="1:41" ht="15.6">
      <c r="A7" s="92" t="s">
        <v>99</v>
      </c>
      <c r="B7" s="92"/>
      <c r="C7" s="92">
        <v>102</v>
      </c>
      <c r="D7" s="92" t="s">
        <v>735</v>
      </c>
      <c r="E7" s="92">
        <v>550</v>
      </c>
      <c r="F7" s="92">
        <v>0</v>
      </c>
      <c r="G7" s="92"/>
      <c r="H7" s="111" t="e">
        <f>IF((VLOOKUP(Ahu_Ashrae_Generic34[[#This Row],[Room Name]],Ashrae90.1Vent[#All],7,FALSE)) = "YES",MROUND(E7/2,5),MROUND(E7,5))</f>
        <v>#N/A</v>
      </c>
      <c r="I7" s="92"/>
      <c r="J7" s="92">
        <v>300</v>
      </c>
      <c r="K7" s="92"/>
      <c r="L7" s="92"/>
      <c r="M7" s="94" t="e" cm="1">
        <f t="array" ref="M7">INDEX(VA_Room_Data_Sheets[ROOM CODE], MATCH(1, (Ahu_Ashrae_Generic34[[#This Row],[Category]]=VA_Room_Data_Sheets[CATEGORY]) * (Ahu_Ashrae_Generic34[[#This Row],[Room Name]]=VA_Room_Data_Sheets[ROOM NAME]), 0))</f>
        <v>#N/A</v>
      </c>
      <c r="N7" s="94" t="e" cm="1">
        <f t="array" ref="N7">INDEX(VA_Room_Data_Sheets[Minimum Total ACH], MATCH(1, (Ahu_Ashrae_Generic34[[#This Row],[Category]]=VA_Room_Data_Sheets[CATEGORY]) * (Ahu_Ashrae_Generic34[[#This Row],[Room Name]]=VA_Room_Data_Sheets[ROOM NAME]), 0))</f>
        <v>#N/A</v>
      </c>
      <c r="O7" s="94" t="e" cm="1">
        <f t="array" ref="O7">ACH_to_CFM(Ahu_Ashrae_Generic34[[#This Row],[Min Total ACH]],Ahu_Ashrae_Generic34[[#This Row],[AREA (FT²)]],Ahu_Ashrae_Generic34[[#This Row],[Room Height]])</f>
        <v>#VALUE!</v>
      </c>
      <c r="P7" s="300" t="e" cm="1">
        <f t="array" ref="P7">INDEX(VA_Room_Data_Sheets[Minimum OA ACH], MATCH(1, (Ahu_Ashrae_Generic34[[#This Row],[Category]]=VA_Room_Data_Sheets[CATEGORY]) * (Ahu_Ashrae_Generic34[[#This Row],[Room Name]]=VA_Room_Data_Sheets[ROOM NAME]), 0))</f>
        <v>#N/A</v>
      </c>
      <c r="Q7" s="94" t="e" cm="1">
        <f t="array" ref="Q7">ACH_to_CFM(Ahu_Ashrae_Generic34[[#This Row],[Min OA ACH]],Ahu_Ashrae_Generic34[[#This Row],[AREA (FT²)]],Ahu_Ashrae_Generic34[[#This Row],[Room Height]])</f>
        <v>#VALUE!</v>
      </c>
      <c r="R7" s="94" t="e" cm="1">
        <f t="array" ref="R7">INDEX(VA_Room_Data_Sheets[Room Air Balance], MATCH(1, (Ahu_Ashrae_Generic34[[#This Row],[Category]]=VA_Room_Data_Sheets[CATEGORY]) * (Ahu_Ashrae_Generic34[[#This Row],[Room Name]]=VA_Room_Data_Sheets[ROOM NAME]), 0))</f>
        <v>#N/A</v>
      </c>
      <c r="S7" s="94" t="e">
        <f t="shared" ref="S7:S17" si="0">CEILING((O7/1000)*E7,1)</f>
        <v>#VALUE!</v>
      </c>
      <c r="T7" s="96" t="e">
        <f ca="1">IF(($S$1/Ahu_Ashrae_Generic34[[#Totals],[Occupants (Pz)]])&gt;1,1,$S$1/Ahu_Ashrae_Generic34[[#Totals],[Occupants (Pz)]])</f>
        <v>#VALUE!</v>
      </c>
      <c r="U7" s="95" t="e">
        <f ca="1">(Ahu_Ashrae_Generic34[[#This Row],[DIVERSITY (D)]]*Ahu_Ashrae_Generic34[[#This Row],[Room Code]]*Ahu_Ashrae_Generic34[[#This Row],[Occupants (Pz)]])+(Ahu_Ashrae_Generic34[[#This Row],[Min Total ACH]]*Ahu_Ashrae_Generic34[[#This Row],[AREA (FT²)]])</f>
        <v>#VALUE!</v>
      </c>
      <c r="V7" s="96" t="e">
        <f ca="1">IF(Ahu_Ashrae_Generic34[[#This Row],[DIVERSITY (D)]]&lt;0.6,(0.88*Ahu_Ashrae_Generic34[[#This Row],[DIVERSITY (D)]]+0.22),0.75)</f>
        <v>#VALUE!</v>
      </c>
      <c r="W7" s="95" t="e">
        <f ca="1">Ahu_Ashrae_Generic34[[#This Row],[Uncorrected OA (Vou)]]/Ahu_Ashrae_Generic34[[#This Row],[System Efficiency (Ev)]]</f>
        <v>#VALUE!</v>
      </c>
      <c r="X7" s="95" t="e">
        <f>(Ahu_Ashrae_Generic34[[#This Row],[Room Code]]*Ahu_Ashrae_Generic34[[#This Row],[Occupants (Pz)]])+(Ahu_Ashrae_Generic34[[#This Row],[Min Total ACH]]*Ahu_Ashrae_Generic34[[#This Row],[AREA (FT²)]])</f>
        <v>#N/A</v>
      </c>
      <c r="Y7" s="92">
        <v>0.8</v>
      </c>
      <c r="Z7" s="95" t="e">
        <f>Ahu_Ashrae_Generic34[[#This Row],[Breathing Zone OA (Vbz)]]/Ahu_Ashrae_Generic34[[#This Row],[Zone Efficiency (Ez)]]</f>
        <v>#N/A</v>
      </c>
      <c r="AA7" s="286" t="s">
        <v>46</v>
      </c>
      <c r="AB7" s="300" t="e" cm="1">
        <f t="array" ref="AB7">corequirement(Ahu_Ashrae_Generic34[[#This Row],[AREA (FT²)]],Ahu_Ashrae_Generic34[[#This Row],[EXHAUST RECOVERY]],INPUT_OUTPUTS!$C$6,Ahu_Ashrae_Generic34[[#This Row],[Min OA ACH]])</f>
        <v>#VALUE!</v>
      </c>
      <c r="AC7" s="95" t="e">
        <f>VLOOKUP(Ahu_Ashrae_Generic34[[#This Row],[Room Name]],Ashrae90.1Vent[#All],6,FALSE)</f>
        <v>#N/A</v>
      </c>
      <c r="AD7" s="95" t="e">
        <f>IF(Ahu_Ashrae_Generic34[[#This Row],[CO2 SENSOR]]="YES",IF(Ahu_Ashrae_Generic34[[#This Row],[OS]]="NO",Ahu_Ashrae_Generic34[[#This Row],[Min OA CFM]],0),IF(Ahu_Ashrae_Generic34[[#This Row],[OS]]="YES",Ahu_Ashrae_Generic34[[#This Row],[Min OA ACH]],Ahu_Ashrae_Generic34[[#This Row],[OUTSIDE AIRFLOW (CFM) (Vot)]]))</f>
        <v>#VALUE!</v>
      </c>
      <c r="AE7" s="139">
        <v>0</v>
      </c>
      <c r="AF7" s="95" t="str">
        <f>IF(Ahu_Ashrae_Generic34[[#This Row],[Category]] = "NOT APPLICABLE","NR","YES")</f>
        <v>YES</v>
      </c>
      <c r="AG7" s="95" t="e">
        <f>IF(Ahu_Ashrae_Generic34[[#This Row],[Category]]="NOT APPLICABLE","NA",VLOOKUP(Ahu_Ashrae_Generic34[[#This Row],[Category]],ASHRAE_EA_Table[#All],2,FALSE))</f>
        <v>#N/A</v>
      </c>
      <c r="AH7" s="95" t="e">
        <f>IF(Ahu_Ashrae_Generic34[[#This Row],[Category]]="NOT APPLICABLE","NA",VLOOKUP(Ahu_Ashrae_Generic34[[#This Row],[Category]],ASHRAE_EA_Table[#All],3,FALSE))</f>
        <v>#N/A</v>
      </c>
      <c r="AI7"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7"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7" s="95" t="e" cm="1">
        <f t="array" ref="AK7">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7" s="139" t="e">
        <f>Ahu_Ashrae_Generic34[[#This Row],[Calculated VAV Max CFM]]</f>
        <v>#VALUE!</v>
      </c>
      <c r="AM7" s="92" t="e" cm="1">
        <f t="array" ref="AM7">Returnair(Ahu_Ashrae_Generic34[[#This Row],[Calculated VAV Max CFM]],Ahu_Ashrae_Generic34[[#This Row],[Desired Room Balance]],Ahu_Ashrae_Generic34[[#This Row],[Exhausted?]],Ahu_Ashrae_Generic34[[#This Row],[Misc Exhaust From Room]])</f>
        <v>#VALUE!</v>
      </c>
      <c r="AN7" s="92" t="e" cm="1">
        <f t="array" ref="AN7">Exhaustair(Ahu_Ashrae_Generic34[[#This Row],[DESIGN VAV MAX SA(CFM)]],Ahu_Ashrae_Generic34[[#This Row],[Exhausted?]],Ahu_Ashrae_Generic34[[#This Row],[MIN ASHRAE EA
(CFM)]],Ahu_Ashrae_Generic34[[#This Row],[Desired Room Balance]],Ahu_Ashrae_Generic34[[#This Row],[Misc Exhaust From Room]])</f>
        <v>#VALUE!</v>
      </c>
      <c r="AO7" s="69" t="e">
        <f ca="1">Ahu_Ashrae_Generic34[[#This Row],[OUTSIDE AIRFLOW (CFM) (Vot)]]/Ahu_Ashrae_Generic34[[#This Row],[DESIGN VAV MAX SA(CFM)]]</f>
        <v>#VALUE!</v>
      </c>
    </row>
    <row r="8" spans="1:41" ht="15.6">
      <c r="A8" s="92" t="s">
        <v>99</v>
      </c>
      <c r="B8" s="92"/>
      <c r="C8" s="92">
        <v>102</v>
      </c>
      <c r="D8" s="92" t="s">
        <v>735</v>
      </c>
      <c r="E8" s="92">
        <v>550</v>
      </c>
      <c r="F8" s="92">
        <v>0</v>
      </c>
      <c r="G8" s="92"/>
      <c r="H8" s="111" t="e">
        <f>IF((VLOOKUP(Ahu_Ashrae_Generic34[[#This Row],[Room Name]],Ashrae90.1Vent[#All],7,FALSE)) = "YES",MROUND(E8/2,5),MROUND(E8,5))</f>
        <v>#N/A</v>
      </c>
      <c r="I8" s="92"/>
      <c r="J8" s="92">
        <v>300</v>
      </c>
      <c r="K8" s="92"/>
      <c r="L8" s="92"/>
      <c r="M8" s="94" t="e" cm="1">
        <f t="array" ref="M8">INDEX(VA_Room_Data_Sheets[ROOM CODE], MATCH(1, (Ahu_Ashrae_Generic34[[#This Row],[Category]]=VA_Room_Data_Sheets[CATEGORY]) * (Ahu_Ashrae_Generic34[[#This Row],[Room Name]]=VA_Room_Data_Sheets[ROOM NAME]), 0))</f>
        <v>#N/A</v>
      </c>
      <c r="N8" s="94" t="e" cm="1">
        <f t="array" ref="N8">INDEX(VA_Room_Data_Sheets[Minimum Total ACH], MATCH(1, (Ahu_Ashrae_Generic34[[#This Row],[Category]]=VA_Room_Data_Sheets[CATEGORY]) * (Ahu_Ashrae_Generic34[[#This Row],[Room Name]]=VA_Room_Data_Sheets[ROOM NAME]), 0))</f>
        <v>#N/A</v>
      </c>
      <c r="O8" s="94" t="e" cm="1">
        <f t="array" ref="O8">ACH_to_CFM(Ahu_Ashrae_Generic34[[#This Row],[Min Total ACH]],Ahu_Ashrae_Generic34[[#This Row],[AREA (FT²)]],Ahu_Ashrae_Generic34[[#This Row],[Room Height]])</f>
        <v>#VALUE!</v>
      </c>
      <c r="P8" s="300" t="e" cm="1">
        <f t="array" ref="P8">INDEX(VA_Room_Data_Sheets[Minimum OA ACH], MATCH(1, (Ahu_Ashrae_Generic34[[#This Row],[Category]]=VA_Room_Data_Sheets[CATEGORY]) * (Ahu_Ashrae_Generic34[[#This Row],[Room Name]]=VA_Room_Data_Sheets[ROOM NAME]), 0))</f>
        <v>#N/A</v>
      </c>
      <c r="Q8" s="94" t="e" cm="1">
        <f t="array" ref="Q8">ACH_to_CFM(Ahu_Ashrae_Generic34[[#This Row],[Min OA ACH]],Ahu_Ashrae_Generic34[[#This Row],[AREA (FT²)]],Ahu_Ashrae_Generic34[[#This Row],[Room Height]])</f>
        <v>#VALUE!</v>
      </c>
      <c r="R8" s="94" t="e" cm="1">
        <f t="array" ref="R8">INDEX(VA_Room_Data_Sheets[Room Air Balance], MATCH(1, (Ahu_Ashrae_Generic34[[#This Row],[Category]]=VA_Room_Data_Sheets[CATEGORY]) * (Ahu_Ashrae_Generic34[[#This Row],[Room Name]]=VA_Room_Data_Sheets[ROOM NAME]), 0))</f>
        <v>#N/A</v>
      </c>
      <c r="S8" s="94" t="e">
        <f t="shared" si="0"/>
        <v>#VALUE!</v>
      </c>
      <c r="T8" s="96" t="e">
        <f ca="1">IF(($S$1/Ahu_Ashrae_Generic34[[#Totals],[Occupants (Pz)]])&gt;1,1,$S$1/Ahu_Ashrae_Generic34[[#Totals],[Occupants (Pz)]])</f>
        <v>#VALUE!</v>
      </c>
      <c r="U8" s="95" t="e">
        <f ca="1">(Ahu_Ashrae_Generic34[[#This Row],[DIVERSITY (D)]]*Ahu_Ashrae_Generic34[[#This Row],[Room Code]]*Ahu_Ashrae_Generic34[[#This Row],[Occupants (Pz)]])+(Ahu_Ashrae_Generic34[[#This Row],[Min Total ACH]]*Ahu_Ashrae_Generic34[[#This Row],[AREA (FT²)]])</f>
        <v>#VALUE!</v>
      </c>
      <c r="V8" s="96" t="e">
        <f ca="1">IF(Ahu_Ashrae_Generic34[[#This Row],[DIVERSITY (D)]]&lt;0.6,(0.88*Ahu_Ashrae_Generic34[[#This Row],[DIVERSITY (D)]]+0.22),0.75)</f>
        <v>#VALUE!</v>
      </c>
      <c r="W8" s="95" t="e">
        <f ca="1">Ahu_Ashrae_Generic34[[#This Row],[Uncorrected OA (Vou)]]/Ahu_Ashrae_Generic34[[#This Row],[System Efficiency (Ev)]]</f>
        <v>#VALUE!</v>
      </c>
      <c r="X8" s="95" t="e">
        <f>(Ahu_Ashrae_Generic34[[#This Row],[Room Code]]*Ahu_Ashrae_Generic34[[#This Row],[Occupants (Pz)]])+(Ahu_Ashrae_Generic34[[#This Row],[Min Total ACH]]*Ahu_Ashrae_Generic34[[#This Row],[AREA (FT²)]])</f>
        <v>#N/A</v>
      </c>
      <c r="Y8" s="92">
        <v>0.8</v>
      </c>
      <c r="Z8" s="95" t="e">
        <f>Ahu_Ashrae_Generic34[[#This Row],[Breathing Zone OA (Vbz)]]/Ahu_Ashrae_Generic34[[#This Row],[Zone Efficiency (Ez)]]</f>
        <v>#N/A</v>
      </c>
      <c r="AA8" s="286" t="s">
        <v>46</v>
      </c>
      <c r="AB8" s="300" t="e" cm="1">
        <f t="array" ref="AB8">corequirement(Ahu_Ashrae_Generic34[[#This Row],[AREA (FT²)]],Ahu_Ashrae_Generic34[[#This Row],[EXHAUST RECOVERY]],INPUT_OUTPUTS!$C$6,Ahu_Ashrae_Generic34[[#This Row],[Min OA ACH]])</f>
        <v>#VALUE!</v>
      </c>
      <c r="AC8" s="95" t="e">
        <f>VLOOKUP(Ahu_Ashrae_Generic34[[#This Row],[Room Name]],Ashrae90.1Vent[#All],6,FALSE)</f>
        <v>#N/A</v>
      </c>
      <c r="AD8" s="95" t="e">
        <f>IF(Ahu_Ashrae_Generic34[[#This Row],[CO2 SENSOR]]="YES",IF(Ahu_Ashrae_Generic34[[#This Row],[OS]]="NO",Ahu_Ashrae_Generic34[[#This Row],[Min OA CFM]],0),IF(Ahu_Ashrae_Generic34[[#This Row],[OS]]="YES",Ahu_Ashrae_Generic34[[#This Row],[Min OA ACH]],Ahu_Ashrae_Generic34[[#This Row],[OUTSIDE AIRFLOW (CFM) (Vot)]]))</f>
        <v>#VALUE!</v>
      </c>
      <c r="AE8" s="139">
        <v>0</v>
      </c>
      <c r="AF8" s="95" t="str">
        <f>IF(Ahu_Ashrae_Generic34[[#This Row],[Category]] = "NOT APPLICABLE","NR","YES")</f>
        <v>YES</v>
      </c>
      <c r="AG8" s="95" t="e">
        <f>IF(Ahu_Ashrae_Generic34[[#This Row],[Category]]="NOT APPLICABLE","NA",VLOOKUP(Ahu_Ashrae_Generic34[[#This Row],[Category]],ASHRAE_EA_Table[#All],2,FALSE))</f>
        <v>#N/A</v>
      </c>
      <c r="AH8" s="95" t="e">
        <f>IF(Ahu_Ashrae_Generic34[[#This Row],[Category]]="NOT APPLICABLE","NA",VLOOKUP(Ahu_Ashrae_Generic34[[#This Row],[Category]],ASHRAE_EA_Table[#All],3,FALSE))</f>
        <v>#N/A</v>
      </c>
      <c r="AI8"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8"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8" s="95" t="e" cm="1">
        <f t="array" ref="AK8">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8" s="139" t="e">
        <f>Ahu_Ashrae_Generic34[[#This Row],[Calculated VAV Max CFM]]</f>
        <v>#VALUE!</v>
      </c>
      <c r="AM8" s="92" t="e" cm="1">
        <f t="array" ref="AM8">Returnair(Ahu_Ashrae_Generic34[[#This Row],[Calculated VAV Max CFM]],Ahu_Ashrae_Generic34[[#This Row],[Desired Room Balance]],Ahu_Ashrae_Generic34[[#This Row],[Exhausted?]],Ahu_Ashrae_Generic34[[#This Row],[Misc Exhaust From Room]])</f>
        <v>#VALUE!</v>
      </c>
      <c r="AN8" s="92" t="e" cm="1">
        <f t="array" ref="AN8">Exhaustair(Ahu_Ashrae_Generic34[[#This Row],[DESIGN VAV MAX SA(CFM)]],Ahu_Ashrae_Generic34[[#This Row],[Exhausted?]],Ahu_Ashrae_Generic34[[#This Row],[MIN ASHRAE EA
(CFM)]],Ahu_Ashrae_Generic34[[#This Row],[Desired Room Balance]],Ahu_Ashrae_Generic34[[#This Row],[Misc Exhaust From Room]])</f>
        <v>#VALUE!</v>
      </c>
      <c r="AO8" s="69" t="e">
        <f ca="1">Ahu_Ashrae_Generic34[[#This Row],[OUTSIDE AIRFLOW (CFM) (Vot)]]/Ahu_Ashrae_Generic34[[#This Row],[DESIGN VAV MAX SA(CFM)]]</f>
        <v>#VALUE!</v>
      </c>
    </row>
    <row r="9" spans="1:41" ht="15.6">
      <c r="A9" s="92" t="s">
        <v>99</v>
      </c>
      <c r="B9" s="92"/>
      <c r="C9" s="92">
        <v>102</v>
      </c>
      <c r="D9" s="92" t="s">
        <v>735</v>
      </c>
      <c r="E9" s="92">
        <v>550</v>
      </c>
      <c r="F9" s="92">
        <v>0</v>
      </c>
      <c r="G9" s="92"/>
      <c r="H9" s="111" t="e">
        <f>IF((VLOOKUP(Ahu_Ashrae_Generic34[[#This Row],[Room Name]],Ashrae90.1Vent[#All],7,FALSE)) = "YES",MROUND(E9/2,5),MROUND(E9,5))</f>
        <v>#N/A</v>
      </c>
      <c r="I9" s="92"/>
      <c r="J9" s="92">
        <v>300</v>
      </c>
      <c r="K9" s="92"/>
      <c r="L9" s="92"/>
      <c r="M9" s="94" t="e" cm="1">
        <f t="array" ref="M9">INDEX(VA_Room_Data_Sheets[ROOM CODE], MATCH(1, (Ahu_Ashrae_Generic34[[#This Row],[Category]]=VA_Room_Data_Sheets[CATEGORY]) * (Ahu_Ashrae_Generic34[[#This Row],[Room Name]]=VA_Room_Data_Sheets[ROOM NAME]), 0))</f>
        <v>#N/A</v>
      </c>
      <c r="N9" s="94" t="e" cm="1">
        <f t="array" ref="N9">INDEX(VA_Room_Data_Sheets[Minimum Total ACH], MATCH(1, (Ahu_Ashrae_Generic34[[#This Row],[Category]]=VA_Room_Data_Sheets[CATEGORY]) * (Ahu_Ashrae_Generic34[[#This Row],[Room Name]]=VA_Room_Data_Sheets[ROOM NAME]), 0))</f>
        <v>#N/A</v>
      </c>
      <c r="O9" s="94" t="e" cm="1">
        <f t="array" ref="O9">ACH_to_CFM(Ahu_Ashrae_Generic34[[#This Row],[Min Total ACH]],Ahu_Ashrae_Generic34[[#This Row],[AREA (FT²)]],Ahu_Ashrae_Generic34[[#This Row],[Room Height]])</f>
        <v>#VALUE!</v>
      </c>
      <c r="P9" s="300" t="e" cm="1">
        <f t="array" ref="P9">INDEX(VA_Room_Data_Sheets[Minimum OA ACH], MATCH(1, (Ahu_Ashrae_Generic34[[#This Row],[Category]]=VA_Room_Data_Sheets[CATEGORY]) * (Ahu_Ashrae_Generic34[[#This Row],[Room Name]]=VA_Room_Data_Sheets[ROOM NAME]), 0))</f>
        <v>#N/A</v>
      </c>
      <c r="Q9" s="94" t="e" cm="1">
        <f t="array" ref="Q9">ACH_to_CFM(Ahu_Ashrae_Generic34[[#This Row],[Min OA ACH]],Ahu_Ashrae_Generic34[[#This Row],[AREA (FT²)]],Ahu_Ashrae_Generic34[[#This Row],[Room Height]])</f>
        <v>#VALUE!</v>
      </c>
      <c r="R9" s="94" t="e" cm="1">
        <f t="array" ref="R9">INDEX(VA_Room_Data_Sheets[Room Air Balance], MATCH(1, (Ahu_Ashrae_Generic34[[#This Row],[Category]]=VA_Room_Data_Sheets[CATEGORY]) * (Ahu_Ashrae_Generic34[[#This Row],[Room Name]]=VA_Room_Data_Sheets[ROOM NAME]), 0))</f>
        <v>#N/A</v>
      </c>
      <c r="S9" s="94" t="e">
        <f t="shared" si="0"/>
        <v>#VALUE!</v>
      </c>
      <c r="T9" s="96" t="e">
        <f ca="1">IF(($S$1/Ahu_Ashrae_Generic34[[#Totals],[Occupants (Pz)]])&gt;1,1,$S$1/Ahu_Ashrae_Generic34[[#Totals],[Occupants (Pz)]])</f>
        <v>#VALUE!</v>
      </c>
      <c r="U9" s="95" t="e">
        <f ca="1">(Ahu_Ashrae_Generic34[[#This Row],[DIVERSITY (D)]]*Ahu_Ashrae_Generic34[[#This Row],[Room Code]]*Ahu_Ashrae_Generic34[[#This Row],[Occupants (Pz)]])+(Ahu_Ashrae_Generic34[[#This Row],[Min Total ACH]]*Ahu_Ashrae_Generic34[[#This Row],[AREA (FT²)]])</f>
        <v>#VALUE!</v>
      </c>
      <c r="V9" s="96" t="e">
        <f ca="1">IF(Ahu_Ashrae_Generic34[[#This Row],[DIVERSITY (D)]]&lt;0.6,(0.88*Ahu_Ashrae_Generic34[[#This Row],[DIVERSITY (D)]]+0.22),0.75)</f>
        <v>#VALUE!</v>
      </c>
      <c r="W9" s="95" t="e">
        <f ca="1">Ahu_Ashrae_Generic34[[#This Row],[Uncorrected OA (Vou)]]/Ahu_Ashrae_Generic34[[#This Row],[System Efficiency (Ev)]]</f>
        <v>#VALUE!</v>
      </c>
      <c r="X9" s="95" t="e">
        <f>(Ahu_Ashrae_Generic34[[#This Row],[Room Code]]*Ahu_Ashrae_Generic34[[#This Row],[Occupants (Pz)]])+(Ahu_Ashrae_Generic34[[#This Row],[Min Total ACH]]*Ahu_Ashrae_Generic34[[#This Row],[AREA (FT²)]])</f>
        <v>#N/A</v>
      </c>
      <c r="Y9" s="92">
        <v>0.8</v>
      </c>
      <c r="Z9" s="95" t="e">
        <f>Ahu_Ashrae_Generic34[[#This Row],[Breathing Zone OA (Vbz)]]/Ahu_Ashrae_Generic34[[#This Row],[Zone Efficiency (Ez)]]</f>
        <v>#N/A</v>
      </c>
      <c r="AA9" s="286" t="s">
        <v>46</v>
      </c>
      <c r="AB9" s="300" t="e" cm="1">
        <f t="array" ref="AB9">corequirement(Ahu_Ashrae_Generic34[[#This Row],[AREA (FT²)]],Ahu_Ashrae_Generic34[[#This Row],[EXHAUST RECOVERY]],INPUT_OUTPUTS!$C$6,Ahu_Ashrae_Generic34[[#This Row],[Min OA ACH]])</f>
        <v>#VALUE!</v>
      </c>
      <c r="AC9" s="95" t="e">
        <f>VLOOKUP(Ahu_Ashrae_Generic34[[#This Row],[Room Name]],Ashrae90.1Vent[#All],6,FALSE)</f>
        <v>#N/A</v>
      </c>
      <c r="AD9" s="95" t="e">
        <f>IF(Ahu_Ashrae_Generic34[[#This Row],[CO2 SENSOR]]="YES",IF(Ahu_Ashrae_Generic34[[#This Row],[OS]]="NO",Ahu_Ashrae_Generic34[[#This Row],[Min OA CFM]],0),IF(Ahu_Ashrae_Generic34[[#This Row],[OS]]="YES",Ahu_Ashrae_Generic34[[#This Row],[Min OA ACH]],Ahu_Ashrae_Generic34[[#This Row],[OUTSIDE AIRFLOW (CFM) (Vot)]]))</f>
        <v>#VALUE!</v>
      </c>
      <c r="AE9" s="139">
        <v>0</v>
      </c>
      <c r="AF9" s="95" t="str">
        <f>IF(Ahu_Ashrae_Generic34[[#This Row],[Category]] = "NOT APPLICABLE","NR","YES")</f>
        <v>YES</v>
      </c>
      <c r="AG9" s="95" t="e">
        <f>IF(Ahu_Ashrae_Generic34[[#This Row],[Category]]="NOT APPLICABLE","NA",VLOOKUP(Ahu_Ashrae_Generic34[[#This Row],[Category]],ASHRAE_EA_Table[#All],2,FALSE))</f>
        <v>#N/A</v>
      </c>
      <c r="AH9" s="95" t="e">
        <f>IF(Ahu_Ashrae_Generic34[[#This Row],[Category]]="NOT APPLICABLE","NA",VLOOKUP(Ahu_Ashrae_Generic34[[#This Row],[Category]],ASHRAE_EA_Table[#All],3,FALSE))</f>
        <v>#N/A</v>
      </c>
      <c r="AI9"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9"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9" s="95" t="e" cm="1">
        <f t="array" ref="AK9">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9" s="139" t="e">
        <f>Ahu_Ashrae_Generic34[[#This Row],[Calculated VAV Max CFM]]</f>
        <v>#VALUE!</v>
      </c>
      <c r="AM9" s="92" t="e" cm="1">
        <f t="array" ref="AM9">Returnair(Ahu_Ashrae_Generic34[[#This Row],[Calculated VAV Max CFM]],Ahu_Ashrae_Generic34[[#This Row],[Desired Room Balance]],Ahu_Ashrae_Generic34[[#This Row],[Exhausted?]],Ahu_Ashrae_Generic34[[#This Row],[Misc Exhaust From Room]])</f>
        <v>#VALUE!</v>
      </c>
      <c r="AN9" s="92" t="e" cm="1">
        <f t="array" ref="AN9">Exhaustair(Ahu_Ashrae_Generic34[[#This Row],[DESIGN VAV MAX SA(CFM)]],Ahu_Ashrae_Generic34[[#This Row],[Exhausted?]],Ahu_Ashrae_Generic34[[#This Row],[MIN ASHRAE EA
(CFM)]],Ahu_Ashrae_Generic34[[#This Row],[Desired Room Balance]],Ahu_Ashrae_Generic34[[#This Row],[Misc Exhaust From Room]])</f>
        <v>#VALUE!</v>
      </c>
      <c r="AO9" s="69" t="e">
        <f ca="1">Ahu_Ashrae_Generic34[[#This Row],[OUTSIDE AIRFLOW (CFM) (Vot)]]/Ahu_Ashrae_Generic34[[#This Row],[DESIGN VAV MAX SA(CFM)]]</f>
        <v>#VALUE!</v>
      </c>
    </row>
    <row r="10" spans="1:41" ht="15.6">
      <c r="A10" s="92" t="s">
        <v>99</v>
      </c>
      <c r="B10" s="92"/>
      <c r="C10" s="92">
        <v>102</v>
      </c>
      <c r="D10" s="92" t="s">
        <v>735</v>
      </c>
      <c r="E10" s="92">
        <v>550</v>
      </c>
      <c r="F10" s="92">
        <v>0</v>
      </c>
      <c r="G10" s="92"/>
      <c r="H10" s="111" t="e">
        <f>IF((VLOOKUP(Ahu_Ashrae_Generic34[[#This Row],[Room Name]],Ashrae90.1Vent[#All],7,FALSE)) = "YES",MROUND(E10/2,5),MROUND(E10,5))</f>
        <v>#N/A</v>
      </c>
      <c r="I10" s="92"/>
      <c r="J10" s="92">
        <v>300</v>
      </c>
      <c r="K10" s="92"/>
      <c r="L10" s="92"/>
      <c r="M10" s="94" t="e" cm="1">
        <f t="array" ref="M10">INDEX(VA_Room_Data_Sheets[ROOM CODE], MATCH(1, (Ahu_Ashrae_Generic34[[#This Row],[Category]]=VA_Room_Data_Sheets[CATEGORY]) * (Ahu_Ashrae_Generic34[[#This Row],[Room Name]]=VA_Room_Data_Sheets[ROOM NAME]), 0))</f>
        <v>#N/A</v>
      </c>
      <c r="N10" s="94" t="e" cm="1">
        <f t="array" ref="N10">INDEX(VA_Room_Data_Sheets[Minimum Total ACH], MATCH(1, (Ahu_Ashrae_Generic34[[#This Row],[Category]]=VA_Room_Data_Sheets[CATEGORY]) * (Ahu_Ashrae_Generic34[[#This Row],[Room Name]]=VA_Room_Data_Sheets[ROOM NAME]), 0))</f>
        <v>#N/A</v>
      </c>
      <c r="O10" s="94" t="e" cm="1">
        <f t="array" ref="O10">ACH_to_CFM(Ahu_Ashrae_Generic34[[#This Row],[Min Total ACH]],Ahu_Ashrae_Generic34[[#This Row],[AREA (FT²)]],Ahu_Ashrae_Generic34[[#This Row],[Room Height]])</f>
        <v>#VALUE!</v>
      </c>
      <c r="P10" s="300" t="e" cm="1">
        <f t="array" ref="P10">INDEX(VA_Room_Data_Sheets[Minimum OA ACH], MATCH(1, (Ahu_Ashrae_Generic34[[#This Row],[Category]]=VA_Room_Data_Sheets[CATEGORY]) * (Ahu_Ashrae_Generic34[[#This Row],[Room Name]]=VA_Room_Data_Sheets[ROOM NAME]), 0))</f>
        <v>#N/A</v>
      </c>
      <c r="Q10" s="94" t="e" cm="1">
        <f t="array" ref="Q10">ACH_to_CFM(Ahu_Ashrae_Generic34[[#This Row],[Min OA ACH]],Ahu_Ashrae_Generic34[[#This Row],[AREA (FT²)]],Ahu_Ashrae_Generic34[[#This Row],[Room Height]])</f>
        <v>#VALUE!</v>
      </c>
      <c r="R10" s="94" t="e" cm="1">
        <f t="array" ref="R10">INDEX(VA_Room_Data_Sheets[Room Air Balance], MATCH(1, (Ahu_Ashrae_Generic34[[#This Row],[Category]]=VA_Room_Data_Sheets[CATEGORY]) * (Ahu_Ashrae_Generic34[[#This Row],[Room Name]]=VA_Room_Data_Sheets[ROOM NAME]), 0))</f>
        <v>#N/A</v>
      </c>
      <c r="S10" s="94" t="e">
        <f t="shared" si="0"/>
        <v>#VALUE!</v>
      </c>
      <c r="T10" s="96" t="e">
        <f ca="1">IF(($S$1/Ahu_Ashrae_Generic34[[#Totals],[Occupants (Pz)]])&gt;1,1,$S$1/Ahu_Ashrae_Generic34[[#Totals],[Occupants (Pz)]])</f>
        <v>#VALUE!</v>
      </c>
      <c r="U10" s="95" t="e">
        <f ca="1">(Ahu_Ashrae_Generic34[[#This Row],[DIVERSITY (D)]]*Ahu_Ashrae_Generic34[[#This Row],[Room Code]]*Ahu_Ashrae_Generic34[[#This Row],[Occupants (Pz)]])+(Ahu_Ashrae_Generic34[[#This Row],[Min Total ACH]]*Ahu_Ashrae_Generic34[[#This Row],[AREA (FT²)]])</f>
        <v>#VALUE!</v>
      </c>
      <c r="V10" s="96" t="e">
        <f ca="1">IF(Ahu_Ashrae_Generic34[[#This Row],[DIVERSITY (D)]]&lt;0.6,(0.88*Ahu_Ashrae_Generic34[[#This Row],[DIVERSITY (D)]]+0.22),0.75)</f>
        <v>#VALUE!</v>
      </c>
      <c r="W10" s="95" t="e">
        <f ca="1">Ahu_Ashrae_Generic34[[#This Row],[Uncorrected OA (Vou)]]/Ahu_Ashrae_Generic34[[#This Row],[System Efficiency (Ev)]]</f>
        <v>#VALUE!</v>
      </c>
      <c r="X10" s="95" t="e">
        <f>(Ahu_Ashrae_Generic34[[#This Row],[Room Code]]*Ahu_Ashrae_Generic34[[#This Row],[Occupants (Pz)]])+(Ahu_Ashrae_Generic34[[#This Row],[Min Total ACH]]*Ahu_Ashrae_Generic34[[#This Row],[AREA (FT²)]])</f>
        <v>#N/A</v>
      </c>
      <c r="Y10" s="92">
        <v>0.8</v>
      </c>
      <c r="Z10" s="95" t="e">
        <f>Ahu_Ashrae_Generic34[[#This Row],[Breathing Zone OA (Vbz)]]/Ahu_Ashrae_Generic34[[#This Row],[Zone Efficiency (Ez)]]</f>
        <v>#N/A</v>
      </c>
      <c r="AA10" s="286" t="s">
        <v>46</v>
      </c>
      <c r="AB10" s="300" t="e" cm="1">
        <f t="array" ref="AB10">corequirement(Ahu_Ashrae_Generic34[[#This Row],[AREA (FT²)]],Ahu_Ashrae_Generic34[[#This Row],[EXHAUST RECOVERY]],INPUT_OUTPUTS!$C$6,Ahu_Ashrae_Generic34[[#This Row],[Min OA ACH]])</f>
        <v>#VALUE!</v>
      </c>
      <c r="AC10" s="95" t="e">
        <f>VLOOKUP(Ahu_Ashrae_Generic34[[#This Row],[Room Name]],Ashrae90.1Vent[#All],6,FALSE)</f>
        <v>#N/A</v>
      </c>
      <c r="AD10" s="95" t="e">
        <f>IF(Ahu_Ashrae_Generic34[[#This Row],[CO2 SENSOR]]="YES",IF(Ahu_Ashrae_Generic34[[#This Row],[OS]]="NO",Ahu_Ashrae_Generic34[[#This Row],[Min OA CFM]],0),IF(Ahu_Ashrae_Generic34[[#This Row],[OS]]="YES",Ahu_Ashrae_Generic34[[#This Row],[Min OA ACH]],Ahu_Ashrae_Generic34[[#This Row],[OUTSIDE AIRFLOW (CFM) (Vot)]]))</f>
        <v>#VALUE!</v>
      </c>
      <c r="AE10" s="139">
        <v>0</v>
      </c>
      <c r="AF10" s="95" t="str">
        <f>IF(Ahu_Ashrae_Generic34[[#This Row],[Category]] = "NOT APPLICABLE","NR","YES")</f>
        <v>YES</v>
      </c>
      <c r="AG10" s="95" t="e">
        <f>IF(Ahu_Ashrae_Generic34[[#This Row],[Category]]="NOT APPLICABLE","NA",VLOOKUP(Ahu_Ashrae_Generic34[[#This Row],[Category]],ASHRAE_EA_Table[#All],2,FALSE))</f>
        <v>#N/A</v>
      </c>
      <c r="AH10" s="95" t="e">
        <f>IF(Ahu_Ashrae_Generic34[[#This Row],[Category]]="NOT APPLICABLE","NA",VLOOKUP(Ahu_Ashrae_Generic34[[#This Row],[Category]],ASHRAE_EA_Table[#All],3,FALSE))</f>
        <v>#N/A</v>
      </c>
      <c r="AI10"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0"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0" s="95" t="e" cm="1">
        <f t="array" ref="AK10">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0" s="139" t="e">
        <f>Ahu_Ashrae_Generic34[[#This Row],[Calculated VAV Max CFM]]</f>
        <v>#VALUE!</v>
      </c>
      <c r="AM10" s="92" t="e" cm="1">
        <f t="array" ref="AM10">Returnair(Ahu_Ashrae_Generic34[[#This Row],[Calculated VAV Max CFM]],Ahu_Ashrae_Generic34[[#This Row],[Desired Room Balance]],Ahu_Ashrae_Generic34[[#This Row],[Exhausted?]],Ahu_Ashrae_Generic34[[#This Row],[Misc Exhaust From Room]])</f>
        <v>#VALUE!</v>
      </c>
      <c r="AN10" s="92" t="e" cm="1">
        <f t="array" ref="AN10">Exhaustair(Ahu_Ashrae_Generic34[[#This Row],[DESIGN VAV MAX SA(CFM)]],Ahu_Ashrae_Generic34[[#This Row],[Exhausted?]],Ahu_Ashrae_Generic34[[#This Row],[MIN ASHRAE EA
(CFM)]],Ahu_Ashrae_Generic34[[#This Row],[Desired Room Balance]],Ahu_Ashrae_Generic34[[#This Row],[Misc Exhaust From Room]])</f>
        <v>#VALUE!</v>
      </c>
      <c r="AO10" s="69" t="e">
        <f ca="1">Ahu_Ashrae_Generic34[[#This Row],[OUTSIDE AIRFLOW (CFM) (Vot)]]/Ahu_Ashrae_Generic34[[#This Row],[DESIGN VAV MAX SA(CFM)]]</f>
        <v>#VALUE!</v>
      </c>
    </row>
    <row r="11" spans="1:41" ht="15.6">
      <c r="A11" s="92" t="s">
        <v>99</v>
      </c>
      <c r="B11" s="92"/>
      <c r="C11" s="92">
        <v>102</v>
      </c>
      <c r="D11" s="92" t="s">
        <v>735</v>
      </c>
      <c r="E11" s="92">
        <v>550</v>
      </c>
      <c r="F11" s="92">
        <v>0</v>
      </c>
      <c r="G11" s="92"/>
      <c r="H11" s="111" t="e">
        <f>IF((VLOOKUP(Ahu_Ashrae_Generic34[[#This Row],[Room Name]],Ashrae90.1Vent[#All],7,FALSE)) = "YES",MROUND(E11/2,5),MROUND(E11,5))</f>
        <v>#N/A</v>
      </c>
      <c r="I11" s="92"/>
      <c r="J11" s="92">
        <v>300</v>
      </c>
      <c r="K11" s="92"/>
      <c r="L11" s="92"/>
      <c r="M11" s="94" t="e" cm="1">
        <f t="array" ref="M11">INDEX(VA_Room_Data_Sheets[ROOM CODE], MATCH(1, (Ahu_Ashrae_Generic34[[#This Row],[Category]]=VA_Room_Data_Sheets[CATEGORY]) * (Ahu_Ashrae_Generic34[[#This Row],[Room Name]]=VA_Room_Data_Sheets[ROOM NAME]), 0))</f>
        <v>#N/A</v>
      </c>
      <c r="N11" s="94" t="e" cm="1">
        <f t="array" ref="N11">INDEX(VA_Room_Data_Sheets[Minimum Total ACH], MATCH(1, (Ahu_Ashrae_Generic34[[#This Row],[Category]]=VA_Room_Data_Sheets[CATEGORY]) * (Ahu_Ashrae_Generic34[[#This Row],[Room Name]]=VA_Room_Data_Sheets[ROOM NAME]), 0))</f>
        <v>#N/A</v>
      </c>
      <c r="O11" s="94" t="e" cm="1">
        <f t="array" ref="O11">ACH_to_CFM(Ahu_Ashrae_Generic34[[#This Row],[Min Total ACH]],Ahu_Ashrae_Generic34[[#This Row],[AREA (FT²)]],Ahu_Ashrae_Generic34[[#This Row],[Room Height]])</f>
        <v>#VALUE!</v>
      </c>
      <c r="P11" s="300" t="e" cm="1">
        <f t="array" ref="P11">INDEX(VA_Room_Data_Sheets[Minimum OA ACH], MATCH(1, (Ahu_Ashrae_Generic34[[#This Row],[Category]]=VA_Room_Data_Sheets[CATEGORY]) * (Ahu_Ashrae_Generic34[[#This Row],[Room Name]]=VA_Room_Data_Sheets[ROOM NAME]), 0))</f>
        <v>#N/A</v>
      </c>
      <c r="Q11" s="94" t="e" cm="1">
        <f t="array" ref="Q11">ACH_to_CFM(Ahu_Ashrae_Generic34[[#This Row],[Min OA ACH]],Ahu_Ashrae_Generic34[[#This Row],[AREA (FT²)]],Ahu_Ashrae_Generic34[[#This Row],[Room Height]])</f>
        <v>#VALUE!</v>
      </c>
      <c r="R11" s="94" t="e" cm="1">
        <f t="array" ref="R11">INDEX(VA_Room_Data_Sheets[Room Air Balance], MATCH(1, (Ahu_Ashrae_Generic34[[#This Row],[Category]]=VA_Room_Data_Sheets[CATEGORY]) * (Ahu_Ashrae_Generic34[[#This Row],[Room Name]]=VA_Room_Data_Sheets[ROOM NAME]), 0))</f>
        <v>#N/A</v>
      </c>
      <c r="S11" s="94" t="e">
        <f t="shared" si="0"/>
        <v>#VALUE!</v>
      </c>
      <c r="T11" s="96" t="e">
        <f ca="1">IF(($S$1/Ahu_Ashrae_Generic34[[#Totals],[Occupants (Pz)]])&gt;1,1,$S$1/Ahu_Ashrae_Generic34[[#Totals],[Occupants (Pz)]])</f>
        <v>#VALUE!</v>
      </c>
      <c r="U11" s="95" t="e">
        <f ca="1">(Ahu_Ashrae_Generic34[[#This Row],[DIVERSITY (D)]]*Ahu_Ashrae_Generic34[[#This Row],[Room Code]]*Ahu_Ashrae_Generic34[[#This Row],[Occupants (Pz)]])+(Ahu_Ashrae_Generic34[[#This Row],[Min Total ACH]]*Ahu_Ashrae_Generic34[[#This Row],[AREA (FT²)]])</f>
        <v>#VALUE!</v>
      </c>
      <c r="V11" s="96" t="e">
        <f ca="1">IF(Ahu_Ashrae_Generic34[[#This Row],[DIVERSITY (D)]]&lt;0.6,(0.88*Ahu_Ashrae_Generic34[[#This Row],[DIVERSITY (D)]]+0.22),0.75)</f>
        <v>#VALUE!</v>
      </c>
      <c r="W11" s="95" t="e">
        <f ca="1">Ahu_Ashrae_Generic34[[#This Row],[Uncorrected OA (Vou)]]/Ahu_Ashrae_Generic34[[#This Row],[System Efficiency (Ev)]]</f>
        <v>#VALUE!</v>
      </c>
      <c r="X11" s="95" t="e">
        <f>(Ahu_Ashrae_Generic34[[#This Row],[Room Code]]*Ahu_Ashrae_Generic34[[#This Row],[Occupants (Pz)]])+(Ahu_Ashrae_Generic34[[#This Row],[Min Total ACH]]*Ahu_Ashrae_Generic34[[#This Row],[AREA (FT²)]])</f>
        <v>#N/A</v>
      </c>
      <c r="Y11" s="92">
        <v>0.8</v>
      </c>
      <c r="Z11" s="95" t="e">
        <f>Ahu_Ashrae_Generic34[[#This Row],[Breathing Zone OA (Vbz)]]/Ahu_Ashrae_Generic34[[#This Row],[Zone Efficiency (Ez)]]</f>
        <v>#N/A</v>
      </c>
      <c r="AA11" s="286" t="s">
        <v>46</v>
      </c>
      <c r="AB11" s="300" t="e" cm="1">
        <f t="array" ref="AB11">corequirement(Ahu_Ashrae_Generic34[[#This Row],[AREA (FT²)]],Ahu_Ashrae_Generic34[[#This Row],[EXHAUST RECOVERY]],INPUT_OUTPUTS!$C$6,Ahu_Ashrae_Generic34[[#This Row],[Min OA ACH]])</f>
        <v>#VALUE!</v>
      </c>
      <c r="AC11" s="95" t="e">
        <f>VLOOKUP(Ahu_Ashrae_Generic34[[#This Row],[Room Name]],Ashrae90.1Vent[#All],6,FALSE)</f>
        <v>#N/A</v>
      </c>
      <c r="AD11" s="95" t="e">
        <f>IF(Ahu_Ashrae_Generic34[[#This Row],[CO2 SENSOR]]="YES",IF(Ahu_Ashrae_Generic34[[#This Row],[OS]]="NO",Ahu_Ashrae_Generic34[[#This Row],[Min OA CFM]],0),IF(Ahu_Ashrae_Generic34[[#This Row],[OS]]="YES",Ahu_Ashrae_Generic34[[#This Row],[Min OA ACH]],Ahu_Ashrae_Generic34[[#This Row],[OUTSIDE AIRFLOW (CFM) (Vot)]]))</f>
        <v>#VALUE!</v>
      </c>
      <c r="AE11" s="139">
        <v>0</v>
      </c>
      <c r="AF11" s="95" t="str">
        <f>IF(Ahu_Ashrae_Generic34[[#This Row],[Category]] = "NOT APPLICABLE","NR","YES")</f>
        <v>YES</v>
      </c>
      <c r="AG11" s="95" t="e">
        <f>IF(Ahu_Ashrae_Generic34[[#This Row],[Category]]="NOT APPLICABLE","NA",VLOOKUP(Ahu_Ashrae_Generic34[[#This Row],[Category]],ASHRAE_EA_Table[#All],2,FALSE))</f>
        <v>#N/A</v>
      </c>
      <c r="AH11" s="95" t="e">
        <f>IF(Ahu_Ashrae_Generic34[[#This Row],[Category]]="NOT APPLICABLE","NA",VLOOKUP(Ahu_Ashrae_Generic34[[#This Row],[Category]],ASHRAE_EA_Table[#All],3,FALSE))</f>
        <v>#N/A</v>
      </c>
      <c r="AI11"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1"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1" s="95" t="e" cm="1">
        <f t="array" ref="AK11">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1" s="139" t="e">
        <f>Ahu_Ashrae_Generic34[[#This Row],[Calculated VAV Max CFM]]</f>
        <v>#VALUE!</v>
      </c>
      <c r="AM11" s="92" t="e" cm="1">
        <f t="array" ref="AM11">Returnair(Ahu_Ashrae_Generic34[[#This Row],[Calculated VAV Max CFM]],Ahu_Ashrae_Generic34[[#This Row],[Desired Room Balance]],Ahu_Ashrae_Generic34[[#This Row],[Exhausted?]],Ahu_Ashrae_Generic34[[#This Row],[Misc Exhaust From Room]])</f>
        <v>#VALUE!</v>
      </c>
      <c r="AN11" s="92" t="e" cm="1">
        <f t="array" ref="AN11">Exhaustair(Ahu_Ashrae_Generic34[[#This Row],[DESIGN VAV MAX SA(CFM)]],Ahu_Ashrae_Generic34[[#This Row],[Exhausted?]],Ahu_Ashrae_Generic34[[#This Row],[MIN ASHRAE EA
(CFM)]],Ahu_Ashrae_Generic34[[#This Row],[Desired Room Balance]],Ahu_Ashrae_Generic34[[#This Row],[Misc Exhaust From Room]])</f>
        <v>#VALUE!</v>
      </c>
      <c r="AO11" s="69" t="e">
        <f ca="1">Ahu_Ashrae_Generic34[[#This Row],[OUTSIDE AIRFLOW (CFM) (Vot)]]/Ahu_Ashrae_Generic34[[#This Row],[DESIGN VAV MAX SA(CFM)]]</f>
        <v>#VALUE!</v>
      </c>
    </row>
    <row r="12" spans="1:41" ht="15.6">
      <c r="A12" s="92" t="s">
        <v>99</v>
      </c>
      <c r="B12" s="92"/>
      <c r="C12" s="92">
        <v>102</v>
      </c>
      <c r="D12" s="92" t="s">
        <v>735</v>
      </c>
      <c r="E12" s="92">
        <v>550</v>
      </c>
      <c r="F12" s="92">
        <v>0</v>
      </c>
      <c r="G12" s="92"/>
      <c r="H12" s="111" t="e">
        <f>IF((VLOOKUP(Ahu_Ashrae_Generic34[[#This Row],[Room Name]],Ashrae90.1Vent[#All],7,FALSE)) = "YES",MROUND(E12/2,5),MROUND(E12,5))</f>
        <v>#N/A</v>
      </c>
      <c r="I12" s="92"/>
      <c r="J12" s="92">
        <v>300</v>
      </c>
      <c r="K12" s="92"/>
      <c r="L12" s="92"/>
      <c r="M12" s="94" t="e" cm="1">
        <f t="array" ref="M12">INDEX(VA_Room_Data_Sheets[ROOM CODE], MATCH(1, (Ahu_Ashrae_Generic34[[#This Row],[Category]]=VA_Room_Data_Sheets[CATEGORY]) * (Ahu_Ashrae_Generic34[[#This Row],[Room Name]]=VA_Room_Data_Sheets[ROOM NAME]), 0))</f>
        <v>#N/A</v>
      </c>
      <c r="N12" s="94" t="e" cm="1">
        <f t="array" ref="N12">INDEX(VA_Room_Data_Sheets[Minimum Total ACH], MATCH(1, (Ahu_Ashrae_Generic34[[#This Row],[Category]]=VA_Room_Data_Sheets[CATEGORY]) * (Ahu_Ashrae_Generic34[[#This Row],[Room Name]]=VA_Room_Data_Sheets[ROOM NAME]), 0))</f>
        <v>#N/A</v>
      </c>
      <c r="O12" s="94" t="e" cm="1">
        <f t="array" ref="O12">ACH_to_CFM(Ahu_Ashrae_Generic34[[#This Row],[Min Total ACH]],Ahu_Ashrae_Generic34[[#This Row],[AREA (FT²)]],Ahu_Ashrae_Generic34[[#This Row],[Room Height]])</f>
        <v>#VALUE!</v>
      </c>
      <c r="P12" s="300" t="e" cm="1">
        <f t="array" ref="P12">INDEX(VA_Room_Data_Sheets[Minimum OA ACH], MATCH(1, (Ahu_Ashrae_Generic34[[#This Row],[Category]]=VA_Room_Data_Sheets[CATEGORY]) * (Ahu_Ashrae_Generic34[[#This Row],[Room Name]]=VA_Room_Data_Sheets[ROOM NAME]), 0))</f>
        <v>#N/A</v>
      </c>
      <c r="Q12" s="94" t="e" cm="1">
        <f t="array" ref="Q12">ACH_to_CFM(Ahu_Ashrae_Generic34[[#This Row],[Min OA ACH]],Ahu_Ashrae_Generic34[[#This Row],[AREA (FT²)]],Ahu_Ashrae_Generic34[[#This Row],[Room Height]])</f>
        <v>#VALUE!</v>
      </c>
      <c r="R12" s="94" t="e" cm="1">
        <f t="array" ref="R12">INDEX(VA_Room_Data_Sheets[Room Air Balance], MATCH(1, (Ahu_Ashrae_Generic34[[#This Row],[Category]]=VA_Room_Data_Sheets[CATEGORY]) * (Ahu_Ashrae_Generic34[[#This Row],[Room Name]]=VA_Room_Data_Sheets[ROOM NAME]), 0))</f>
        <v>#N/A</v>
      </c>
      <c r="S12" s="94" t="e">
        <f t="shared" si="0"/>
        <v>#VALUE!</v>
      </c>
      <c r="T12" s="96" t="e">
        <f ca="1">IF(($S$1/Ahu_Ashrae_Generic34[[#Totals],[Occupants (Pz)]])&gt;1,1,$S$1/Ahu_Ashrae_Generic34[[#Totals],[Occupants (Pz)]])</f>
        <v>#VALUE!</v>
      </c>
      <c r="U12" s="95" t="e">
        <f ca="1">(Ahu_Ashrae_Generic34[[#This Row],[DIVERSITY (D)]]*Ahu_Ashrae_Generic34[[#This Row],[Room Code]]*Ahu_Ashrae_Generic34[[#This Row],[Occupants (Pz)]])+(Ahu_Ashrae_Generic34[[#This Row],[Min Total ACH]]*Ahu_Ashrae_Generic34[[#This Row],[AREA (FT²)]])</f>
        <v>#VALUE!</v>
      </c>
      <c r="V12" s="96" t="e">
        <f ca="1">IF(Ahu_Ashrae_Generic34[[#This Row],[DIVERSITY (D)]]&lt;0.6,(0.88*Ahu_Ashrae_Generic34[[#This Row],[DIVERSITY (D)]]+0.22),0.75)</f>
        <v>#VALUE!</v>
      </c>
      <c r="W12" s="95" t="e">
        <f ca="1">Ahu_Ashrae_Generic34[[#This Row],[Uncorrected OA (Vou)]]/Ahu_Ashrae_Generic34[[#This Row],[System Efficiency (Ev)]]</f>
        <v>#VALUE!</v>
      </c>
      <c r="X12" s="95" t="e">
        <f>(Ahu_Ashrae_Generic34[[#This Row],[Room Code]]*Ahu_Ashrae_Generic34[[#This Row],[Occupants (Pz)]])+(Ahu_Ashrae_Generic34[[#This Row],[Min Total ACH]]*Ahu_Ashrae_Generic34[[#This Row],[AREA (FT²)]])</f>
        <v>#N/A</v>
      </c>
      <c r="Y12" s="92">
        <v>0.8</v>
      </c>
      <c r="Z12" s="95" t="e">
        <f>Ahu_Ashrae_Generic34[[#This Row],[Breathing Zone OA (Vbz)]]/Ahu_Ashrae_Generic34[[#This Row],[Zone Efficiency (Ez)]]</f>
        <v>#N/A</v>
      </c>
      <c r="AA12" s="286" t="s">
        <v>46</v>
      </c>
      <c r="AB12" s="300" t="e" cm="1">
        <f t="array" ref="AB12">corequirement(Ahu_Ashrae_Generic34[[#This Row],[AREA (FT²)]],Ahu_Ashrae_Generic34[[#This Row],[EXHAUST RECOVERY]],INPUT_OUTPUTS!$C$6,Ahu_Ashrae_Generic34[[#This Row],[Min OA ACH]])</f>
        <v>#VALUE!</v>
      </c>
      <c r="AC12" s="95" t="e">
        <f>VLOOKUP(Ahu_Ashrae_Generic34[[#This Row],[Room Name]],Ashrae90.1Vent[#All],6,FALSE)</f>
        <v>#N/A</v>
      </c>
      <c r="AD12" s="95" t="e">
        <f>IF(Ahu_Ashrae_Generic34[[#This Row],[CO2 SENSOR]]="YES",IF(Ahu_Ashrae_Generic34[[#This Row],[OS]]="NO",Ahu_Ashrae_Generic34[[#This Row],[Min OA CFM]],0),IF(Ahu_Ashrae_Generic34[[#This Row],[OS]]="YES",Ahu_Ashrae_Generic34[[#This Row],[Min OA ACH]],Ahu_Ashrae_Generic34[[#This Row],[OUTSIDE AIRFLOW (CFM) (Vot)]]))</f>
        <v>#VALUE!</v>
      </c>
      <c r="AE12" s="139">
        <v>0</v>
      </c>
      <c r="AF12" s="95" t="str">
        <f>IF(Ahu_Ashrae_Generic34[[#This Row],[Category]] = "NOT APPLICABLE","NR","YES")</f>
        <v>YES</v>
      </c>
      <c r="AG12" s="95" t="e">
        <f>IF(Ahu_Ashrae_Generic34[[#This Row],[Category]]="NOT APPLICABLE","NA",VLOOKUP(Ahu_Ashrae_Generic34[[#This Row],[Category]],ASHRAE_EA_Table[#All],2,FALSE))</f>
        <v>#N/A</v>
      </c>
      <c r="AH12" s="95" t="e">
        <f>IF(Ahu_Ashrae_Generic34[[#This Row],[Category]]="NOT APPLICABLE","NA",VLOOKUP(Ahu_Ashrae_Generic34[[#This Row],[Category]],ASHRAE_EA_Table[#All],3,FALSE))</f>
        <v>#N/A</v>
      </c>
      <c r="AI12"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2"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2" s="95" t="e" cm="1">
        <f t="array" ref="AK12">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2" s="139" t="e">
        <f>Ahu_Ashrae_Generic34[[#This Row],[Calculated VAV Max CFM]]</f>
        <v>#VALUE!</v>
      </c>
      <c r="AM12" s="92" t="e" cm="1">
        <f t="array" ref="AM12">Returnair(Ahu_Ashrae_Generic34[[#This Row],[Calculated VAV Max CFM]],Ahu_Ashrae_Generic34[[#This Row],[Desired Room Balance]],Ahu_Ashrae_Generic34[[#This Row],[Exhausted?]],Ahu_Ashrae_Generic34[[#This Row],[Misc Exhaust From Room]])</f>
        <v>#VALUE!</v>
      </c>
      <c r="AN12" s="92" t="e" cm="1">
        <f t="array" ref="AN12">Exhaustair(Ahu_Ashrae_Generic34[[#This Row],[DESIGN VAV MAX SA(CFM)]],Ahu_Ashrae_Generic34[[#This Row],[Exhausted?]],Ahu_Ashrae_Generic34[[#This Row],[MIN ASHRAE EA
(CFM)]],Ahu_Ashrae_Generic34[[#This Row],[Desired Room Balance]],Ahu_Ashrae_Generic34[[#This Row],[Misc Exhaust From Room]])</f>
        <v>#VALUE!</v>
      </c>
      <c r="AO12" s="69" t="e">
        <f ca="1">Ahu_Ashrae_Generic34[[#This Row],[OUTSIDE AIRFLOW (CFM) (Vot)]]/Ahu_Ashrae_Generic34[[#This Row],[DESIGN VAV MAX SA(CFM)]]</f>
        <v>#VALUE!</v>
      </c>
    </row>
    <row r="13" spans="1:41" ht="15.6">
      <c r="A13" s="92" t="s">
        <v>99</v>
      </c>
      <c r="B13" s="92"/>
      <c r="C13" s="92">
        <v>102</v>
      </c>
      <c r="D13" s="92" t="s">
        <v>735</v>
      </c>
      <c r="E13" s="92">
        <v>550</v>
      </c>
      <c r="F13" s="92">
        <v>0</v>
      </c>
      <c r="G13" s="92"/>
      <c r="H13" s="111" t="e">
        <f>IF((VLOOKUP(Ahu_Ashrae_Generic34[[#This Row],[Room Name]],Ashrae90.1Vent[#All],7,FALSE)) = "YES",MROUND(E13/2,5),MROUND(E13,5))</f>
        <v>#N/A</v>
      </c>
      <c r="I13" s="92"/>
      <c r="J13" s="92">
        <v>300</v>
      </c>
      <c r="K13" s="92"/>
      <c r="L13" s="92"/>
      <c r="M13" s="94" t="e" cm="1">
        <f t="array" ref="M13">INDEX(VA_Room_Data_Sheets[ROOM CODE], MATCH(1, (Ahu_Ashrae_Generic34[[#This Row],[Category]]=VA_Room_Data_Sheets[CATEGORY]) * (Ahu_Ashrae_Generic34[[#This Row],[Room Name]]=VA_Room_Data_Sheets[ROOM NAME]), 0))</f>
        <v>#N/A</v>
      </c>
      <c r="N13" s="94" t="e" cm="1">
        <f t="array" ref="N13">INDEX(VA_Room_Data_Sheets[Minimum Total ACH], MATCH(1, (Ahu_Ashrae_Generic34[[#This Row],[Category]]=VA_Room_Data_Sheets[CATEGORY]) * (Ahu_Ashrae_Generic34[[#This Row],[Room Name]]=VA_Room_Data_Sheets[ROOM NAME]), 0))</f>
        <v>#N/A</v>
      </c>
      <c r="O13" s="94" t="e" cm="1">
        <f t="array" ref="O13">ACH_to_CFM(Ahu_Ashrae_Generic34[[#This Row],[Min Total ACH]],Ahu_Ashrae_Generic34[[#This Row],[AREA (FT²)]],Ahu_Ashrae_Generic34[[#This Row],[Room Height]])</f>
        <v>#VALUE!</v>
      </c>
      <c r="P13" s="300" t="e" cm="1">
        <f t="array" ref="P13">INDEX(VA_Room_Data_Sheets[Minimum OA ACH], MATCH(1, (Ahu_Ashrae_Generic34[[#This Row],[Category]]=VA_Room_Data_Sheets[CATEGORY]) * (Ahu_Ashrae_Generic34[[#This Row],[Room Name]]=VA_Room_Data_Sheets[ROOM NAME]), 0))</f>
        <v>#N/A</v>
      </c>
      <c r="Q13" s="94" t="e" cm="1">
        <f t="array" ref="Q13">ACH_to_CFM(Ahu_Ashrae_Generic34[[#This Row],[Min OA ACH]],Ahu_Ashrae_Generic34[[#This Row],[AREA (FT²)]],Ahu_Ashrae_Generic34[[#This Row],[Room Height]])</f>
        <v>#VALUE!</v>
      </c>
      <c r="R13" s="94" t="e" cm="1">
        <f t="array" ref="R13">INDEX(VA_Room_Data_Sheets[Room Air Balance], MATCH(1, (Ahu_Ashrae_Generic34[[#This Row],[Category]]=VA_Room_Data_Sheets[CATEGORY]) * (Ahu_Ashrae_Generic34[[#This Row],[Room Name]]=VA_Room_Data_Sheets[ROOM NAME]), 0))</f>
        <v>#N/A</v>
      </c>
      <c r="S13" s="94" t="e">
        <f t="shared" si="0"/>
        <v>#VALUE!</v>
      </c>
      <c r="T13" s="96" t="e">
        <f ca="1">IF(($S$1/Ahu_Ashrae_Generic34[[#Totals],[Occupants (Pz)]])&gt;1,1,$S$1/Ahu_Ashrae_Generic34[[#Totals],[Occupants (Pz)]])</f>
        <v>#VALUE!</v>
      </c>
      <c r="U13" s="95" t="e">
        <f ca="1">(Ahu_Ashrae_Generic34[[#This Row],[DIVERSITY (D)]]*Ahu_Ashrae_Generic34[[#This Row],[Room Code]]*Ahu_Ashrae_Generic34[[#This Row],[Occupants (Pz)]])+(Ahu_Ashrae_Generic34[[#This Row],[Min Total ACH]]*Ahu_Ashrae_Generic34[[#This Row],[AREA (FT²)]])</f>
        <v>#VALUE!</v>
      </c>
      <c r="V13" s="96" t="e">
        <f ca="1">IF(Ahu_Ashrae_Generic34[[#This Row],[DIVERSITY (D)]]&lt;0.6,(0.88*Ahu_Ashrae_Generic34[[#This Row],[DIVERSITY (D)]]+0.22),0.75)</f>
        <v>#VALUE!</v>
      </c>
      <c r="W13" s="95" t="e">
        <f ca="1">Ahu_Ashrae_Generic34[[#This Row],[Uncorrected OA (Vou)]]/Ahu_Ashrae_Generic34[[#This Row],[System Efficiency (Ev)]]</f>
        <v>#VALUE!</v>
      </c>
      <c r="X13" s="95" t="e">
        <f>(Ahu_Ashrae_Generic34[[#This Row],[Room Code]]*Ahu_Ashrae_Generic34[[#This Row],[Occupants (Pz)]])+(Ahu_Ashrae_Generic34[[#This Row],[Min Total ACH]]*Ahu_Ashrae_Generic34[[#This Row],[AREA (FT²)]])</f>
        <v>#N/A</v>
      </c>
      <c r="Y13" s="92">
        <v>0.8</v>
      </c>
      <c r="Z13" s="95" t="e">
        <f>Ahu_Ashrae_Generic34[[#This Row],[Breathing Zone OA (Vbz)]]/Ahu_Ashrae_Generic34[[#This Row],[Zone Efficiency (Ez)]]</f>
        <v>#N/A</v>
      </c>
      <c r="AA13" s="286" t="s">
        <v>46</v>
      </c>
      <c r="AB13" s="300" t="e" cm="1">
        <f t="array" ref="AB13">corequirement(Ahu_Ashrae_Generic34[[#This Row],[AREA (FT²)]],Ahu_Ashrae_Generic34[[#This Row],[EXHAUST RECOVERY]],INPUT_OUTPUTS!$C$6,Ahu_Ashrae_Generic34[[#This Row],[Min OA ACH]])</f>
        <v>#VALUE!</v>
      </c>
      <c r="AC13" s="95" t="e">
        <f>VLOOKUP(Ahu_Ashrae_Generic34[[#This Row],[Room Name]],Ashrae90.1Vent[#All],6,FALSE)</f>
        <v>#N/A</v>
      </c>
      <c r="AD13" s="95" t="e">
        <f>IF(Ahu_Ashrae_Generic34[[#This Row],[CO2 SENSOR]]="YES",IF(Ahu_Ashrae_Generic34[[#This Row],[OS]]="NO",Ahu_Ashrae_Generic34[[#This Row],[Min OA CFM]],0),IF(Ahu_Ashrae_Generic34[[#This Row],[OS]]="YES",Ahu_Ashrae_Generic34[[#This Row],[Min OA ACH]],Ahu_Ashrae_Generic34[[#This Row],[OUTSIDE AIRFLOW (CFM) (Vot)]]))</f>
        <v>#VALUE!</v>
      </c>
      <c r="AE13" s="139">
        <v>0</v>
      </c>
      <c r="AF13" s="95" t="str">
        <f>IF(Ahu_Ashrae_Generic34[[#This Row],[Category]] = "NOT APPLICABLE","NR","YES")</f>
        <v>YES</v>
      </c>
      <c r="AG13" s="95" t="e">
        <f>IF(Ahu_Ashrae_Generic34[[#This Row],[Category]]="NOT APPLICABLE","NA",VLOOKUP(Ahu_Ashrae_Generic34[[#This Row],[Category]],ASHRAE_EA_Table[#All],2,FALSE))</f>
        <v>#N/A</v>
      </c>
      <c r="AH13" s="95" t="e">
        <f>IF(Ahu_Ashrae_Generic34[[#This Row],[Category]]="NOT APPLICABLE","NA",VLOOKUP(Ahu_Ashrae_Generic34[[#This Row],[Category]],ASHRAE_EA_Table[#All],3,FALSE))</f>
        <v>#N/A</v>
      </c>
      <c r="AI13"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3"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3" s="95" t="e" cm="1">
        <f t="array" ref="AK13">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3" s="139" t="e">
        <f>Ahu_Ashrae_Generic34[[#This Row],[Calculated VAV Max CFM]]</f>
        <v>#VALUE!</v>
      </c>
      <c r="AM13" s="92" t="e" cm="1">
        <f t="array" ref="AM13">Returnair(Ahu_Ashrae_Generic34[[#This Row],[Calculated VAV Max CFM]],Ahu_Ashrae_Generic34[[#This Row],[Desired Room Balance]],Ahu_Ashrae_Generic34[[#This Row],[Exhausted?]],Ahu_Ashrae_Generic34[[#This Row],[Misc Exhaust From Room]])</f>
        <v>#VALUE!</v>
      </c>
      <c r="AN13" s="92" t="e" cm="1">
        <f t="array" ref="AN13">Exhaustair(Ahu_Ashrae_Generic34[[#This Row],[DESIGN VAV MAX SA(CFM)]],Ahu_Ashrae_Generic34[[#This Row],[Exhausted?]],Ahu_Ashrae_Generic34[[#This Row],[MIN ASHRAE EA
(CFM)]],Ahu_Ashrae_Generic34[[#This Row],[Desired Room Balance]],Ahu_Ashrae_Generic34[[#This Row],[Misc Exhaust From Room]])</f>
        <v>#VALUE!</v>
      </c>
      <c r="AO13" s="69" t="e">
        <f ca="1">Ahu_Ashrae_Generic34[[#This Row],[OUTSIDE AIRFLOW (CFM) (Vot)]]/Ahu_Ashrae_Generic34[[#This Row],[DESIGN VAV MAX SA(CFM)]]</f>
        <v>#VALUE!</v>
      </c>
    </row>
    <row r="14" spans="1:41" ht="15.6">
      <c r="A14" s="92" t="s">
        <v>99</v>
      </c>
      <c r="B14" s="92"/>
      <c r="C14" s="92">
        <v>102</v>
      </c>
      <c r="D14" s="92" t="s">
        <v>735</v>
      </c>
      <c r="E14" s="92">
        <v>550</v>
      </c>
      <c r="F14" s="92">
        <v>0</v>
      </c>
      <c r="G14" s="92"/>
      <c r="H14" s="111" t="e">
        <f>IF((VLOOKUP(Ahu_Ashrae_Generic34[[#This Row],[Room Name]],Ashrae90.1Vent[#All],7,FALSE)) = "YES",MROUND(E14/2,5),MROUND(E14,5))</f>
        <v>#N/A</v>
      </c>
      <c r="I14" s="92"/>
      <c r="J14" s="92">
        <v>300</v>
      </c>
      <c r="K14" s="92"/>
      <c r="L14" s="92"/>
      <c r="M14" s="94" t="e" cm="1">
        <f t="array" ref="M14">INDEX(VA_Room_Data_Sheets[ROOM CODE], MATCH(1, (Ahu_Ashrae_Generic34[[#This Row],[Category]]=VA_Room_Data_Sheets[CATEGORY]) * (Ahu_Ashrae_Generic34[[#This Row],[Room Name]]=VA_Room_Data_Sheets[ROOM NAME]), 0))</f>
        <v>#N/A</v>
      </c>
      <c r="N14" s="94" t="e" cm="1">
        <f t="array" ref="N14">INDEX(VA_Room_Data_Sheets[Minimum Total ACH], MATCH(1, (Ahu_Ashrae_Generic34[[#This Row],[Category]]=VA_Room_Data_Sheets[CATEGORY]) * (Ahu_Ashrae_Generic34[[#This Row],[Room Name]]=VA_Room_Data_Sheets[ROOM NAME]), 0))</f>
        <v>#N/A</v>
      </c>
      <c r="O14" s="94" t="e" cm="1">
        <f t="array" ref="O14">ACH_to_CFM(Ahu_Ashrae_Generic34[[#This Row],[Min Total ACH]],Ahu_Ashrae_Generic34[[#This Row],[AREA (FT²)]],Ahu_Ashrae_Generic34[[#This Row],[Room Height]])</f>
        <v>#VALUE!</v>
      </c>
      <c r="P14" s="300" t="e" cm="1">
        <f t="array" ref="P14">INDEX(VA_Room_Data_Sheets[Minimum OA ACH], MATCH(1, (Ahu_Ashrae_Generic34[[#This Row],[Category]]=VA_Room_Data_Sheets[CATEGORY]) * (Ahu_Ashrae_Generic34[[#This Row],[Room Name]]=VA_Room_Data_Sheets[ROOM NAME]), 0))</f>
        <v>#N/A</v>
      </c>
      <c r="Q14" s="94" t="e" cm="1">
        <f t="array" ref="Q14">ACH_to_CFM(Ahu_Ashrae_Generic34[[#This Row],[Min OA ACH]],Ahu_Ashrae_Generic34[[#This Row],[AREA (FT²)]],Ahu_Ashrae_Generic34[[#This Row],[Room Height]])</f>
        <v>#VALUE!</v>
      </c>
      <c r="R14" s="94" t="e" cm="1">
        <f t="array" ref="R14">INDEX(VA_Room_Data_Sheets[Room Air Balance], MATCH(1, (Ahu_Ashrae_Generic34[[#This Row],[Category]]=VA_Room_Data_Sheets[CATEGORY]) * (Ahu_Ashrae_Generic34[[#This Row],[Room Name]]=VA_Room_Data_Sheets[ROOM NAME]), 0))</f>
        <v>#N/A</v>
      </c>
      <c r="S14" s="94" t="e">
        <f t="shared" si="0"/>
        <v>#VALUE!</v>
      </c>
      <c r="T14" s="96" t="e">
        <f ca="1">IF(($S$1/Ahu_Ashrae_Generic34[[#Totals],[Occupants (Pz)]])&gt;1,1,$S$1/Ahu_Ashrae_Generic34[[#Totals],[Occupants (Pz)]])</f>
        <v>#VALUE!</v>
      </c>
      <c r="U14" s="95" t="e">
        <f ca="1">(Ahu_Ashrae_Generic34[[#This Row],[DIVERSITY (D)]]*Ahu_Ashrae_Generic34[[#This Row],[Room Code]]*Ahu_Ashrae_Generic34[[#This Row],[Occupants (Pz)]])+(Ahu_Ashrae_Generic34[[#This Row],[Min Total ACH]]*Ahu_Ashrae_Generic34[[#This Row],[AREA (FT²)]])</f>
        <v>#VALUE!</v>
      </c>
      <c r="V14" s="96" t="e">
        <f ca="1">IF(Ahu_Ashrae_Generic34[[#This Row],[DIVERSITY (D)]]&lt;0.6,(0.88*Ahu_Ashrae_Generic34[[#This Row],[DIVERSITY (D)]]+0.22),0.75)</f>
        <v>#VALUE!</v>
      </c>
      <c r="W14" s="95" t="e">
        <f ca="1">Ahu_Ashrae_Generic34[[#This Row],[Uncorrected OA (Vou)]]/Ahu_Ashrae_Generic34[[#This Row],[System Efficiency (Ev)]]</f>
        <v>#VALUE!</v>
      </c>
      <c r="X14" s="95" t="e">
        <f>(Ahu_Ashrae_Generic34[[#This Row],[Room Code]]*Ahu_Ashrae_Generic34[[#This Row],[Occupants (Pz)]])+(Ahu_Ashrae_Generic34[[#This Row],[Min Total ACH]]*Ahu_Ashrae_Generic34[[#This Row],[AREA (FT²)]])</f>
        <v>#N/A</v>
      </c>
      <c r="Y14" s="92">
        <v>0.8</v>
      </c>
      <c r="Z14" s="95" t="e">
        <f>Ahu_Ashrae_Generic34[[#This Row],[Breathing Zone OA (Vbz)]]/Ahu_Ashrae_Generic34[[#This Row],[Zone Efficiency (Ez)]]</f>
        <v>#N/A</v>
      </c>
      <c r="AA14" s="286" t="s">
        <v>46</v>
      </c>
      <c r="AB14" s="300" t="e" cm="1">
        <f t="array" ref="AB14">corequirement(Ahu_Ashrae_Generic34[[#This Row],[AREA (FT²)]],Ahu_Ashrae_Generic34[[#This Row],[EXHAUST RECOVERY]],INPUT_OUTPUTS!$C$6,Ahu_Ashrae_Generic34[[#This Row],[Min OA ACH]])</f>
        <v>#VALUE!</v>
      </c>
      <c r="AC14" s="95" t="e">
        <f>VLOOKUP(Ahu_Ashrae_Generic34[[#This Row],[Room Name]],Ashrae90.1Vent[#All],6,FALSE)</f>
        <v>#N/A</v>
      </c>
      <c r="AD14" s="95" t="e">
        <f>IF(Ahu_Ashrae_Generic34[[#This Row],[CO2 SENSOR]]="YES",IF(Ahu_Ashrae_Generic34[[#This Row],[OS]]="NO",Ahu_Ashrae_Generic34[[#This Row],[Min OA CFM]],0),IF(Ahu_Ashrae_Generic34[[#This Row],[OS]]="YES",Ahu_Ashrae_Generic34[[#This Row],[Min OA ACH]],Ahu_Ashrae_Generic34[[#This Row],[OUTSIDE AIRFLOW (CFM) (Vot)]]))</f>
        <v>#VALUE!</v>
      </c>
      <c r="AE14" s="139">
        <v>0</v>
      </c>
      <c r="AF14" s="95" t="str">
        <f>IF(Ahu_Ashrae_Generic34[[#This Row],[Category]] = "NOT APPLICABLE","NR","YES")</f>
        <v>YES</v>
      </c>
      <c r="AG14" s="95" t="e">
        <f>IF(Ahu_Ashrae_Generic34[[#This Row],[Category]]="NOT APPLICABLE","NA",VLOOKUP(Ahu_Ashrae_Generic34[[#This Row],[Category]],ASHRAE_EA_Table[#All],2,FALSE))</f>
        <v>#N/A</v>
      </c>
      <c r="AH14" s="95" t="e">
        <f>IF(Ahu_Ashrae_Generic34[[#This Row],[Category]]="NOT APPLICABLE","NA",VLOOKUP(Ahu_Ashrae_Generic34[[#This Row],[Category]],ASHRAE_EA_Table[#All],3,FALSE))</f>
        <v>#N/A</v>
      </c>
      <c r="AI14"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4"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4" s="95" t="e" cm="1">
        <f t="array" ref="AK14">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4" s="139" t="e">
        <f>Ahu_Ashrae_Generic34[[#This Row],[Calculated VAV Max CFM]]</f>
        <v>#VALUE!</v>
      </c>
      <c r="AM14" s="92" t="e" cm="1">
        <f t="array" ref="AM14">Returnair(Ahu_Ashrae_Generic34[[#This Row],[Calculated VAV Max CFM]],Ahu_Ashrae_Generic34[[#This Row],[Desired Room Balance]],Ahu_Ashrae_Generic34[[#This Row],[Exhausted?]],Ahu_Ashrae_Generic34[[#This Row],[Misc Exhaust From Room]])</f>
        <v>#VALUE!</v>
      </c>
      <c r="AN14" s="92" t="e" cm="1">
        <f t="array" ref="AN14">Exhaustair(Ahu_Ashrae_Generic34[[#This Row],[DESIGN VAV MAX SA(CFM)]],Ahu_Ashrae_Generic34[[#This Row],[Exhausted?]],Ahu_Ashrae_Generic34[[#This Row],[MIN ASHRAE EA
(CFM)]],Ahu_Ashrae_Generic34[[#This Row],[Desired Room Balance]],Ahu_Ashrae_Generic34[[#This Row],[Misc Exhaust From Room]])</f>
        <v>#VALUE!</v>
      </c>
      <c r="AO14" s="69" t="e">
        <f ca="1">Ahu_Ashrae_Generic34[[#This Row],[OUTSIDE AIRFLOW (CFM) (Vot)]]/Ahu_Ashrae_Generic34[[#This Row],[DESIGN VAV MAX SA(CFM)]]</f>
        <v>#VALUE!</v>
      </c>
    </row>
    <row r="15" spans="1:41" ht="15.6">
      <c r="A15" s="92" t="s">
        <v>99</v>
      </c>
      <c r="B15" s="92"/>
      <c r="C15" s="92">
        <v>102</v>
      </c>
      <c r="D15" s="92" t="s">
        <v>735</v>
      </c>
      <c r="E15" s="92">
        <v>550</v>
      </c>
      <c r="F15" s="92">
        <v>0</v>
      </c>
      <c r="G15" s="92"/>
      <c r="H15" s="111" t="e">
        <f>IF((VLOOKUP(Ahu_Ashrae_Generic34[[#This Row],[Room Name]],Ashrae90.1Vent[#All],7,FALSE)) = "YES",MROUND(E15/2,5),MROUND(E15,5))</f>
        <v>#N/A</v>
      </c>
      <c r="I15" s="92"/>
      <c r="J15" s="92">
        <v>300</v>
      </c>
      <c r="K15" s="92"/>
      <c r="L15" s="92"/>
      <c r="M15" s="94" t="e" cm="1">
        <f t="array" ref="M15">INDEX(VA_Room_Data_Sheets[ROOM CODE], MATCH(1, (Ahu_Ashrae_Generic34[[#This Row],[Category]]=VA_Room_Data_Sheets[CATEGORY]) * (Ahu_Ashrae_Generic34[[#This Row],[Room Name]]=VA_Room_Data_Sheets[ROOM NAME]), 0))</f>
        <v>#N/A</v>
      </c>
      <c r="N15" s="94" t="e" cm="1">
        <f t="array" ref="N15">INDEX(VA_Room_Data_Sheets[Minimum Total ACH], MATCH(1, (Ahu_Ashrae_Generic34[[#This Row],[Category]]=VA_Room_Data_Sheets[CATEGORY]) * (Ahu_Ashrae_Generic34[[#This Row],[Room Name]]=VA_Room_Data_Sheets[ROOM NAME]), 0))</f>
        <v>#N/A</v>
      </c>
      <c r="O15" s="94" t="e" cm="1">
        <f t="array" ref="O15">ACH_to_CFM(Ahu_Ashrae_Generic34[[#This Row],[Min Total ACH]],Ahu_Ashrae_Generic34[[#This Row],[AREA (FT²)]],Ahu_Ashrae_Generic34[[#This Row],[Room Height]])</f>
        <v>#VALUE!</v>
      </c>
      <c r="P15" s="300" t="e" cm="1">
        <f t="array" ref="P15">INDEX(VA_Room_Data_Sheets[Minimum OA ACH], MATCH(1, (Ahu_Ashrae_Generic34[[#This Row],[Category]]=VA_Room_Data_Sheets[CATEGORY]) * (Ahu_Ashrae_Generic34[[#This Row],[Room Name]]=VA_Room_Data_Sheets[ROOM NAME]), 0))</f>
        <v>#N/A</v>
      </c>
      <c r="Q15" s="94" t="e" cm="1">
        <f t="array" ref="Q15">ACH_to_CFM(Ahu_Ashrae_Generic34[[#This Row],[Min OA ACH]],Ahu_Ashrae_Generic34[[#This Row],[AREA (FT²)]],Ahu_Ashrae_Generic34[[#This Row],[Room Height]])</f>
        <v>#VALUE!</v>
      </c>
      <c r="R15" s="94" t="e" cm="1">
        <f t="array" ref="R15">INDEX(VA_Room_Data_Sheets[Room Air Balance], MATCH(1, (Ahu_Ashrae_Generic34[[#This Row],[Category]]=VA_Room_Data_Sheets[CATEGORY]) * (Ahu_Ashrae_Generic34[[#This Row],[Room Name]]=VA_Room_Data_Sheets[ROOM NAME]), 0))</f>
        <v>#N/A</v>
      </c>
      <c r="S15" s="94" t="e">
        <f t="shared" si="0"/>
        <v>#VALUE!</v>
      </c>
      <c r="T15" s="96" t="e">
        <f ca="1">IF(($S$1/Ahu_Ashrae_Generic34[[#Totals],[Occupants (Pz)]])&gt;1,1,$S$1/Ahu_Ashrae_Generic34[[#Totals],[Occupants (Pz)]])</f>
        <v>#VALUE!</v>
      </c>
      <c r="U15" s="95" t="e">
        <f ca="1">(Ahu_Ashrae_Generic34[[#This Row],[DIVERSITY (D)]]*Ahu_Ashrae_Generic34[[#This Row],[Room Code]]*Ahu_Ashrae_Generic34[[#This Row],[Occupants (Pz)]])+(Ahu_Ashrae_Generic34[[#This Row],[Min Total ACH]]*Ahu_Ashrae_Generic34[[#This Row],[AREA (FT²)]])</f>
        <v>#VALUE!</v>
      </c>
      <c r="V15" s="96" t="e">
        <f ca="1">IF(Ahu_Ashrae_Generic34[[#This Row],[DIVERSITY (D)]]&lt;0.6,(0.88*Ahu_Ashrae_Generic34[[#This Row],[DIVERSITY (D)]]+0.22),0.75)</f>
        <v>#VALUE!</v>
      </c>
      <c r="W15" s="95" t="e">
        <f ca="1">Ahu_Ashrae_Generic34[[#This Row],[Uncorrected OA (Vou)]]/Ahu_Ashrae_Generic34[[#This Row],[System Efficiency (Ev)]]</f>
        <v>#VALUE!</v>
      </c>
      <c r="X15" s="95" t="e">
        <f>(Ahu_Ashrae_Generic34[[#This Row],[Room Code]]*Ahu_Ashrae_Generic34[[#This Row],[Occupants (Pz)]])+(Ahu_Ashrae_Generic34[[#This Row],[Min Total ACH]]*Ahu_Ashrae_Generic34[[#This Row],[AREA (FT²)]])</f>
        <v>#N/A</v>
      </c>
      <c r="Y15" s="92">
        <v>0.8</v>
      </c>
      <c r="Z15" s="95" t="e">
        <f>Ahu_Ashrae_Generic34[[#This Row],[Breathing Zone OA (Vbz)]]/Ahu_Ashrae_Generic34[[#This Row],[Zone Efficiency (Ez)]]</f>
        <v>#N/A</v>
      </c>
      <c r="AA15" s="286" t="s">
        <v>46</v>
      </c>
      <c r="AB15" s="300" t="e" cm="1">
        <f t="array" ref="AB15">corequirement(Ahu_Ashrae_Generic34[[#This Row],[AREA (FT²)]],Ahu_Ashrae_Generic34[[#This Row],[EXHAUST RECOVERY]],INPUT_OUTPUTS!$C$6,Ahu_Ashrae_Generic34[[#This Row],[Min OA ACH]])</f>
        <v>#VALUE!</v>
      </c>
      <c r="AC15" s="95" t="e">
        <f>VLOOKUP(Ahu_Ashrae_Generic34[[#This Row],[Room Name]],Ashrae90.1Vent[#All],6,FALSE)</f>
        <v>#N/A</v>
      </c>
      <c r="AD15" s="95" t="e">
        <f>IF(Ahu_Ashrae_Generic34[[#This Row],[CO2 SENSOR]]="YES",IF(Ahu_Ashrae_Generic34[[#This Row],[OS]]="NO",Ahu_Ashrae_Generic34[[#This Row],[Min OA CFM]],0),IF(Ahu_Ashrae_Generic34[[#This Row],[OS]]="YES",Ahu_Ashrae_Generic34[[#This Row],[Min OA ACH]],Ahu_Ashrae_Generic34[[#This Row],[OUTSIDE AIRFLOW (CFM) (Vot)]]))</f>
        <v>#VALUE!</v>
      </c>
      <c r="AE15" s="139">
        <v>0</v>
      </c>
      <c r="AF15" s="95" t="str">
        <f>IF(Ahu_Ashrae_Generic34[[#This Row],[Category]] = "NOT APPLICABLE","NR","YES")</f>
        <v>YES</v>
      </c>
      <c r="AG15" s="95" t="e">
        <f>IF(Ahu_Ashrae_Generic34[[#This Row],[Category]]="NOT APPLICABLE","NA",VLOOKUP(Ahu_Ashrae_Generic34[[#This Row],[Category]],ASHRAE_EA_Table[#All],2,FALSE))</f>
        <v>#N/A</v>
      </c>
      <c r="AH15" s="95" t="e">
        <f>IF(Ahu_Ashrae_Generic34[[#This Row],[Category]]="NOT APPLICABLE","NA",VLOOKUP(Ahu_Ashrae_Generic34[[#This Row],[Category]],ASHRAE_EA_Table[#All],3,FALSE))</f>
        <v>#N/A</v>
      </c>
      <c r="AI15"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5"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5" s="95" t="e" cm="1">
        <f t="array" ref="AK15">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5" s="139" t="e">
        <f>Ahu_Ashrae_Generic34[[#This Row],[Calculated VAV Max CFM]]</f>
        <v>#VALUE!</v>
      </c>
      <c r="AM15" s="92" t="e" cm="1">
        <f t="array" ref="AM15">Returnair(Ahu_Ashrae_Generic34[[#This Row],[Calculated VAV Max CFM]],Ahu_Ashrae_Generic34[[#This Row],[Desired Room Balance]],Ahu_Ashrae_Generic34[[#This Row],[Exhausted?]],Ahu_Ashrae_Generic34[[#This Row],[Misc Exhaust From Room]])</f>
        <v>#VALUE!</v>
      </c>
      <c r="AN15" s="92" t="e" cm="1">
        <f t="array" ref="AN15">Exhaustair(Ahu_Ashrae_Generic34[[#This Row],[DESIGN VAV MAX SA(CFM)]],Ahu_Ashrae_Generic34[[#This Row],[Exhausted?]],Ahu_Ashrae_Generic34[[#This Row],[MIN ASHRAE EA
(CFM)]],Ahu_Ashrae_Generic34[[#This Row],[Desired Room Balance]],Ahu_Ashrae_Generic34[[#This Row],[Misc Exhaust From Room]])</f>
        <v>#VALUE!</v>
      </c>
      <c r="AO15" s="69" t="e">
        <f ca="1">Ahu_Ashrae_Generic34[[#This Row],[OUTSIDE AIRFLOW (CFM) (Vot)]]/Ahu_Ashrae_Generic34[[#This Row],[DESIGN VAV MAX SA(CFM)]]</f>
        <v>#VALUE!</v>
      </c>
    </row>
    <row r="16" spans="1:41" ht="15.6">
      <c r="A16" s="92" t="s">
        <v>99</v>
      </c>
      <c r="B16" s="92"/>
      <c r="C16" s="92">
        <v>102</v>
      </c>
      <c r="D16" s="92" t="s">
        <v>735</v>
      </c>
      <c r="E16" s="92">
        <v>550</v>
      </c>
      <c r="F16" s="92">
        <v>0</v>
      </c>
      <c r="G16" s="92"/>
      <c r="H16" s="111" t="e">
        <f>IF((VLOOKUP(Ahu_Ashrae_Generic34[[#This Row],[Room Name]],Ashrae90.1Vent[#All],7,FALSE)) = "YES",MROUND(E16/2,5),MROUND(E16,5))</f>
        <v>#N/A</v>
      </c>
      <c r="I16" s="92"/>
      <c r="J16" s="92">
        <v>300</v>
      </c>
      <c r="K16" s="92"/>
      <c r="L16" s="92"/>
      <c r="M16" s="94" t="e" cm="1">
        <f t="array" ref="M16">INDEX(VA_Room_Data_Sheets[ROOM CODE], MATCH(1, (Ahu_Ashrae_Generic34[[#This Row],[Category]]=VA_Room_Data_Sheets[CATEGORY]) * (Ahu_Ashrae_Generic34[[#This Row],[Room Name]]=VA_Room_Data_Sheets[ROOM NAME]), 0))</f>
        <v>#N/A</v>
      </c>
      <c r="N16" s="94" t="e" cm="1">
        <f t="array" ref="N16">INDEX(VA_Room_Data_Sheets[Minimum Total ACH], MATCH(1, (Ahu_Ashrae_Generic34[[#This Row],[Category]]=VA_Room_Data_Sheets[CATEGORY]) * (Ahu_Ashrae_Generic34[[#This Row],[Room Name]]=VA_Room_Data_Sheets[ROOM NAME]), 0))</f>
        <v>#N/A</v>
      </c>
      <c r="O16" s="94" t="e" cm="1">
        <f t="array" ref="O16">ACH_to_CFM(Ahu_Ashrae_Generic34[[#This Row],[Min Total ACH]],Ahu_Ashrae_Generic34[[#This Row],[AREA (FT²)]],Ahu_Ashrae_Generic34[[#This Row],[Room Height]])</f>
        <v>#VALUE!</v>
      </c>
      <c r="P16" s="300" t="e" cm="1">
        <f t="array" ref="P16">INDEX(VA_Room_Data_Sheets[Minimum OA ACH], MATCH(1, (Ahu_Ashrae_Generic34[[#This Row],[Category]]=VA_Room_Data_Sheets[CATEGORY]) * (Ahu_Ashrae_Generic34[[#This Row],[Room Name]]=VA_Room_Data_Sheets[ROOM NAME]), 0))</f>
        <v>#N/A</v>
      </c>
      <c r="Q16" s="94" t="e" cm="1">
        <f t="array" ref="Q16">ACH_to_CFM(Ahu_Ashrae_Generic34[[#This Row],[Min OA ACH]],Ahu_Ashrae_Generic34[[#This Row],[AREA (FT²)]],Ahu_Ashrae_Generic34[[#This Row],[Room Height]])</f>
        <v>#VALUE!</v>
      </c>
      <c r="R16" s="94" t="e" cm="1">
        <f t="array" ref="R16">INDEX(VA_Room_Data_Sheets[Room Air Balance], MATCH(1, (Ahu_Ashrae_Generic34[[#This Row],[Category]]=VA_Room_Data_Sheets[CATEGORY]) * (Ahu_Ashrae_Generic34[[#This Row],[Room Name]]=VA_Room_Data_Sheets[ROOM NAME]), 0))</f>
        <v>#N/A</v>
      </c>
      <c r="S16" s="94" t="e">
        <f t="shared" si="0"/>
        <v>#VALUE!</v>
      </c>
      <c r="T16" s="96" t="e">
        <f ca="1">IF(($S$1/Ahu_Ashrae_Generic34[[#Totals],[Occupants (Pz)]])&gt;1,1,$S$1/Ahu_Ashrae_Generic34[[#Totals],[Occupants (Pz)]])</f>
        <v>#VALUE!</v>
      </c>
      <c r="U16" s="95" t="e">
        <f ca="1">(Ahu_Ashrae_Generic34[[#This Row],[DIVERSITY (D)]]*Ahu_Ashrae_Generic34[[#This Row],[Room Code]]*Ahu_Ashrae_Generic34[[#This Row],[Occupants (Pz)]])+(Ahu_Ashrae_Generic34[[#This Row],[Min Total ACH]]*Ahu_Ashrae_Generic34[[#This Row],[AREA (FT²)]])</f>
        <v>#VALUE!</v>
      </c>
      <c r="V16" s="96" t="e">
        <f ca="1">IF(Ahu_Ashrae_Generic34[[#This Row],[DIVERSITY (D)]]&lt;0.6,(0.88*Ahu_Ashrae_Generic34[[#This Row],[DIVERSITY (D)]]+0.22),0.75)</f>
        <v>#VALUE!</v>
      </c>
      <c r="W16" s="95" t="e">
        <f ca="1">Ahu_Ashrae_Generic34[[#This Row],[Uncorrected OA (Vou)]]/Ahu_Ashrae_Generic34[[#This Row],[System Efficiency (Ev)]]</f>
        <v>#VALUE!</v>
      </c>
      <c r="X16" s="95" t="e">
        <f>(Ahu_Ashrae_Generic34[[#This Row],[Room Code]]*Ahu_Ashrae_Generic34[[#This Row],[Occupants (Pz)]])+(Ahu_Ashrae_Generic34[[#This Row],[Min Total ACH]]*Ahu_Ashrae_Generic34[[#This Row],[AREA (FT²)]])</f>
        <v>#N/A</v>
      </c>
      <c r="Y16" s="92">
        <v>0.8</v>
      </c>
      <c r="Z16" s="95" t="e">
        <f>Ahu_Ashrae_Generic34[[#This Row],[Breathing Zone OA (Vbz)]]/Ahu_Ashrae_Generic34[[#This Row],[Zone Efficiency (Ez)]]</f>
        <v>#N/A</v>
      </c>
      <c r="AA16" s="286" t="s">
        <v>46</v>
      </c>
      <c r="AB16" s="300" t="e" cm="1">
        <f t="array" ref="AB16">corequirement(Ahu_Ashrae_Generic34[[#This Row],[AREA (FT²)]],Ahu_Ashrae_Generic34[[#This Row],[EXHAUST RECOVERY]],INPUT_OUTPUTS!$C$6,Ahu_Ashrae_Generic34[[#This Row],[Min OA ACH]])</f>
        <v>#VALUE!</v>
      </c>
      <c r="AC16" s="95" t="e">
        <f>VLOOKUP(Ahu_Ashrae_Generic34[[#This Row],[Room Name]],Ashrae90.1Vent[#All],6,FALSE)</f>
        <v>#N/A</v>
      </c>
      <c r="AD16" s="95" t="e">
        <f>IF(Ahu_Ashrae_Generic34[[#This Row],[CO2 SENSOR]]="YES",IF(Ahu_Ashrae_Generic34[[#This Row],[OS]]="NO",Ahu_Ashrae_Generic34[[#This Row],[Min OA CFM]],0),IF(Ahu_Ashrae_Generic34[[#This Row],[OS]]="YES",Ahu_Ashrae_Generic34[[#This Row],[Min OA ACH]],Ahu_Ashrae_Generic34[[#This Row],[OUTSIDE AIRFLOW (CFM) (Vot)]]))</f>
        <v>#VALUE!</v>
      </c>
      <c r="AE16" s="139">
        <v>0</v>
      </c>
      <c r="AF16" s="95" t="str">
        <f>IF(Ahu_Ashrae_Generic34[[#This Row],[Category]] = "NOT APPLICABLE","NR","YES")</f>
        <v>YES</v>
      </c>
      <c r="AG16" s="95" t="e">
        <f>IF(Ahu_Ashrae_Generic34[[#This Row],[Category]]="NOT APPLICABLE","NA",VLOOKUP(Ahu_Ashrae_Generic34[[#This Row],[Category]],ASHRAE_EA_Table[#All],2,FALSE))</f>
        <v>#N/A</v>
      </c>
      <c r="AH16" s="95" t="e">
        <f>IF(Ahu_Ashrae_Generic34[[#This Row],[Category]]="NOT APPLICABLE","NA",VLOOKUP(Ahu_Ashrae_Generic34[[#This Row],[Category]],ASHRAE_EA_Table[#All],3,FALSE))</f>
        <v>#N/A</v>
      </c>
      <c r="AI16"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6"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6" s="95" t="e" cm="1">
        <f t="array" ref="AK16">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6" s="139" t="e">
        <f>Ahu_Ashrae_Generic34[[#This Row],[Calculated VAV Max CFM]]</f>
        <v>#VALUE!</v>
      </c>
      <c r="AM16" s="92" t="e" cm="1">
        <f t="array" ref="AM16">Returnair(Ahu_Ashrae_Generic34[[#This Row],[Calculated VAV Max CFM]],Ahu_Ashrae_Generic34[[#This Row],[Desired Room Balance]],Ahu_Ashrae_Generic34[[#This Row],[Exhausted?]],Ahu_Ashrae_Generic34[[#This Row],[Misc Exhaust From Room]])</f>
        <v>#VALUE!</v>
      </c>
      <c r="AN16" s="92" t="e" cm="1">
        <f t="array" ref="AN16">Exhaustair(Ahu_Ashrae_Generic34[[#This Row],[DESIGN VAV MAX SA(CFM)]],Ahu_Ashrae_Generic34[[#This Row],[Exhausted?]],Ahu_Ashrae_Generic34[[#This Row],[MIN ASHRAE EA
(CFM)]],Ahu_Ashrae_Generic34[[#This Row],[Desired Room Balance]],Ahu_Ashrae_Generic34[[#This Row],[Misc Exhaust From Room]])</f>
        <v>#VALUE!</v>
      </c>
      <c r="AO16" s="69" t="e">
        <f ca="1">Ahu_Ashrae_Generic34[[#This Row],[OUTSIDE AIRFLOW (CFM) (Vot)]]/Ahu_Ashrae_Generic34[[#This Row],[DESIGN VAV MAX SA(CFM)]]</f>
        <v>#VALUE!</v>
      </c>
    </row>
    <row r="17" spans="1:41" ht="15.6">
      <c r="A17" s="92" t="s">
        <v>99</v>
      </c>
      <c r="B17" s="92"/>
      <c r="C17" s="92">
        <v>102</v>
      </c>
      <c r="D17" s="92" t="s">
        <v>735</v>
      </c>
      <c r="E17" s="92">
        <v>550</v>
      </c>
      <c r="F17" s="92">
        <v>0</v>
      </c>
      <c r="G17" s="92"/>
      <c r="H17" s="111" t="e">
        <f>IF((VLOOKUP(Ahu_Ashrae_Generic34[[#This Row],[Room Name]],Ashrae90.1Vent[#All],7,FALSE)) = "YES",MROUND(E17/2,5),MROUND(E17,5))</f>
        <v>#N/A</v>
      </c>
      <c r="I17" s="92"/>
      <c r="J17" s="92">
        <v>300</v>
      </c>
      <c r="K17" s="92"/>
      <c r="L17" s="92"/>
      <c r="M17" s="94" t="e" cm="1">
        <f t="array" ref="M17">INDEX(VA_Room_Data_Sheets[ROOM CODE], MATCH(1, (Ahu_Ashrae_Generic34[[#This Row],[Category]]=VA_Room_Data_Sheets[CATEGORY]) * (Ahu_Ashrae_Generic34[[#This Row],[Room Name]]=VA_Room_Data_Sheets[ROOM NAME]), 0))</f>
        <v>#N/A</v>
      </c>
      <c r="N17" s="94" t="e" cm="1">
        <f t="array" ref="N17">INDEX(VA_Room_Data_Sheets[Minimum Total ACH], MATCH(1, (Ahu_Ashrae_Generic34[[#This Row],[Category]]=VA_Room_Data_Sheets[CATEGORY]) * (Ahu_Ashrae_Generic34[[#This Row],[Room Name]]=VA_Room_Data_Sheets[ROOM NAME]), 0))</f>
        <v>#N/A</v>
      </c>
      <c r="O17" s="94" t="e" cm="1">
        <f t="array" ref="O17">ACH_to_CFM(Ahu_Ashrae_Generic34[[#This Row],[Min Total ACH]],Ahu_Ashrae_Generic34[[#This Row],[AREA (FT²)]],Ahu_Ashrae_Generic34[[#This Row],[Room Height]])</f>
        <v>#VALUE!</v>
      </c>
      <c r="P17" s="300" t="e" cm="1">
        <f t="array" ref="P17">INDEX(VA_Room_Data_Sheets[Minimum OA ACH], MATCH(1, (Ahu_Ashrae_Generic34[[#This Row],[Category]]=VA_Room_Data_Sheets[CATEGORY]) * (Ahu_Ashrae_Generic34[[#This Row],[Room Name]]=VA_Room_Data_Sheets[ROOM NAME]), 0))</f>
        <v>#N/A</v>
      </c>
      <c r="Q17" s="94" t="e" cm="1">
        <f t="array" ref="Q17">ACH_to_CFM(Ahu_Ashrae_Generic34[[#This Row],[Min OA ACH]],Ahu_Ashrae_Generic34[[#This Row],[AREA (FT²)]],Ahu_Ashrae_Generic34[[#This Row],[Room Height]])</f>
        <v>#VALUE!</v>
      </c>
      <c r="R17" s="94" t="e" cm="1">
        <f t="array" ref="R17">INDEX(VA_Room_Data_Sheets[Room Air Balance], MATCH(1, (Ahu_Ashrae_Generic34[[#This Row],[Category]]=VA_Room_Data_Sheets[CATEGORY]) * (Ahu_Ashrae_Generic34[[#This Row],[Room Name]]=VA_Room_Data_Sheets[ROOM NAME]), 0))</f>
        <v>#N/A</v>
      </c>
      <c r="S17" s="94" t="e">
        <f t="shared" si="0"/>
        <v>#VALUE!</v>
      </c>
      <c r="T17" s="96" t="e">
        <f ca="1">IF(($S$1/Ahu_Ashrae_Generic34[[#Totals],[Occupants (Pz)]])&gt;1,1,$S$1/Ahu_Ashrae_Generic34[[#Totals],[Occupants (Pz)]])</f>
        <v>#VALUE!</v>
      </c>
      <c r="U17" s="95" t="e">
        <f ca="1">(Ahu_Ashrae_Generic34[[#This Row],[DIVERSITY (D)]]*Ahu_Ashrae_Generic34[[#This Row],[Room Code]]*Ahu_Ashrae_Generic34[[#This Row],[Occupants (Pz)]])+(Ahu_Ashrae_Generic34[[#This Row],[Min Total ACH]]*Ahu_Ashrae_Generic34[[#This Row],[AREA (FT²)]])</f>
        <v>#VALUE!</v>
      </c>
      <c r="V17" s="96" t="e">
        <f ca="1">IF(Ahu_Ashrae_Generic34[[#This Row],[DIVERSITY (D)]]&lt;0.6,(0.88*Ahu_Ashrae_Generic34[[#This Row],[DIVERSITY (D)]]+0.22),0.75)</f>
        <v>#VALUE!</v>
      </c>
      <c r="W17" s="95" t="e">
        <f ca="1">Ahu_Ashrae_Generic34[[#This Row],[Uncorrected OA (Vou)]]/Ahu_Ashrae_Generic34[[#This Row],[System Efficiency (Ev)]]</f>
        <v>#VALUE!</v>
      </c>
      <c r="X17" s="95" t="e">
        <f>(Ahu_Ashrae_Generic34[[#This Row],[Room Code]]*Ahu_Ashrae_Generic34[[#This Row],[Occupants (Pz)]])+(Ahu_Ashrae_Generic34[[#This Row],[Min Total ACH]]*Ahu_Ashrae_Generic34[[#This Row],[AREA (FT²)]])</f>
        <v>#N/A</v>
      </c>
      <c r="Y17" s="92">
        <v>0.8</v>
      </c>
      <c r="Z17" s="95" t="e">
        <f>Ahu_Ashrae_Generic34[[#This Row],[Breathing Zone OA (Vbz)]]/Ahu_Ashrae_Generic34[[#This Row],[Zone Efficiency (Ez)]]</f>
        <v>#N/A</v>
      </c>
      <c r="AA17" s="286" t="s">
        <v>46</v>
      </c>
      <c r="AB17" s="300" t="e" cm="1">
        <f t="array" ref="AB17">corequirement(Ahu_Ashrae_Generic34[[#This Row],[AREA (FT²)]],Ahu_Ashrae_Generic34[[#This Row],[EXHAUST RECOVERY]],INPUT_OUTPUTS!$C$6,Ahu_Ashrae_Generic34[[#This Row],[Min OA ACH]])</f>
        <v>#VALUE!</v>
      </c>
      <c r="AC17" s="95" t="e">
        <f>VLOOKUP(Ahu_Ashrae_Generic34[[#This Row],[Room Name]],Ashrae90.1Vent[#All],6,FALSE)</f>
        <v>#N/A</v>
      </c>
      <c r="AD17" s="95" t="e">
        <f>IF(Ahu_Ashrae_Generic34[[#This Row],[CO2 SENSOR]]="YES",IF(Ahu_Ashrae_Generic34[[#This Row],[OS]]="NO",Ahu_Ashrae_Generic34[[#This Row],[Min OA CFM]],0),IF(Ahu_Ashrae_Generic34[[#This Row],[OS]]="YES",Ahu_Ashrae_Generic34[[#This Row],[Min OA ACH]],Ahu_Ashrae_Generic34[[#This Row],[OUTSIDE AIRFLOW (CFM) (Vot)]]))</f>
        <v>#VALUE!</v>
      </c>
      <c r="AE17" s="139">
        <v>0</v>
      </c>
      <c r="AF17" s="95" t="str">
        <f>IF(Ahu_Ashrae_Generic34[[#This Row],[Category]] = "NOT APPLICABLE","NR","YES")</f>
        <v>YES</v>
      </c>
      <c r="AG17" s="95" t="e">
        <f>IF(Ahu_Ashrae_Generic34[[#This Row],[Category]]="NOT APPLICABLE","NA",VLOOKUP(Ahu_Ashrae_Generic34[[#This Row],[Category]],ASHRAE_EA_Table[#All],2,FALSE))</f>
        <v>#N/A</v>
      </c>
      <c r="AH17" s="95" t="e">
        <f>IF(Ahu_Ashrae_Generic34[[#This Row],[Category]]="NOT APPLICABLE","NA",VLOOKUP(Ahu_Ashrae_Generic34[[#This Row],[Category]],ASHRAE_EA_Table[#All],3,FALSE))</f>
        <v>#N/A</v>
      </c>
      <c r="AI17" s="94">
        <f>Ahu_Ashrae_Generic34[[#This Row],[Misc Exhaust From Room]]+(IFERROR(IF(Ahu_Ashrae_Generic34[[#This Row],[EA RATE
(CFM/UNIT)]] = "NA",Ahu_Ashrae_Generic34[[#This Row],[EA RATE
(CFM/FT²)]]*Ahu_Ashrae_Generic34[[#This Row],[AREA (FT²)]],Ahu_Ashrae_Generic34[[#This Row],[EA RATE
(CFM/UNIT)]]*Ahu_Ashrae_Generic34[[#This Row],[Room Height]]),0))</f>
        <v>0</v>
      </c>
      <c r="AJ17" s="95" t="e">
        <f>IF(Ahu_Ashrae_Generic34[[#This Row],[Exhausted?]]="YES",Ahu_Ashrae_Generic34[[#This Row],[Calculated VAV Max CFM]],(MROUND(IF((Ahu_Ashrae_Generic34[[#This Row],[DESIGN VAV MAX SA(CFM)]]*0.3)&lt;(Ahu_Ashrae_Generic34[[#This Row],[Zone OA (Voz)]]*1.5),(Ahu_Ashrae_Generic34[[#This Row],[Zone OA (Voz)]]*1.5),(Ahu_Ashrae_Generic34[[#This Row],[DESIGN VAV MAX SA(CFM)]]*0.3)),5)))</f>
        <v>#VALUE!</v>
      </c>
      <c r="AK17" s="95" t="e" cm="1">
        <f t="array" ref="AK17">supplyair(Ahu_Ashrae_Generic34[[#This Row],[COOLING LOAD (CFM)]],Ahu_Ashrae_Generic34[[#This Row],[OFFICE STANDARD 
(CFM)]],Ahu_Ashrae_Generic34[[#This Row],[OFFICE STANDARD 
(CFM)]],Ahu_Ashrae_Generic34[[#This Row],[Desired Room Balance]],Ahu_Ashrae_Generic34[[#This Row],[Exhausted?]],Ahu_Ashrae_Generic34[[#This Row],[MIN ASHRAE EA
(CFM)]],Ahu_Ashrae_Generic34[[#This Row],[Misc Exhaust From Room]],Ahu_Ashrae_Generic34[[#This Row],[OUTSIDE AIRFLOW (CFM) (Vot)]])</f>
        <v>#VALUE!</v>
      </c>
      <c r="AL17" s="139" t="e">
        <f>Ahu_Ashrae_Generic34[[#This Row],[Calculated VAV Max CFM]]</f>
        <v>#VALUE!</v>
      </c>
      <c r="AM17" s="92" t="e" cm="1">
        <f t="array" ref="AM17">Returnair(Ahu_Ashrae_Generic34[[#This Row],[Calculated VAV Max CFM]],Ahu_Ashrae_Generic34[[#This Row],[Desired Room Balance]],Ahu_Ashrae_Generic34[[#This Row],[Exhausted?]],Ahu_Ashrae_Generic34[[#This Row],[Misc Exhaust From Room]])</f>
        <v>#VALUE!</v>
      </c>
      <c r="AN17" s="92" t="e" cm="1">
        <f t="array" ref="AN17">Exhaustair(Ahu_Ashrae_Generic34[[#This Row],[DESIGN VAV MAX SA(CFM)]],Ahu_Ashrae_Generic34[[#This Row],[Exhausted?]],Ahu_Ashrae_Generic34[[#This Row],[MIN ASHRAE EA
(CFM)]],Ahu_Ashrae_Generic34[[#This Row],[Desired Room Balance]],Ahu_Ashrae_Generic34[[#This Row],[Misc Exhaust From Room]])</f>
        <v>#VALUE!</v>
      </c>
      <c r="AO17" s="69" t="e">
        <f ca="1">Ahu_Ashrae_Generic34[[#This Row],[OUTSIDE AIRFLOW (CFM) (Vot)]]/Ahu_Ashrae_Generic34[[#This Row],[DESIGN VAV MAX SA(CFM)]]</f>
        <v>#VALUE!</v>
      </c>
    </row>
    <row r="18" spans="1:41" ht="15.6">
      <c r="A18" s="63" t="s">
        <v>104</v>
      </c>
      <c r="B18" s="63"/>
      <c r="C18" s="63"/>
      <c r="D18" s="339">
        <f>SUBTOTAL(103,Ahu_Ashrae_Generic34[Room])</f>
        <v>13</v>
      </c>
      <c r="E18" s="340">
        <f>SUBTOTAL(109,Ahu_Ashrae_Generic34[AREA (FT²)])</f>
        <v>6800</v>
      </c>
      <c r="F18" s="343">
        <f>SUBTOTAL(109,Ahu_Ashrae_Generic34[Desired Room Balance])</f>
        <v>0</v>
      </c>
      <c r="G18" s="341"/>
      <c r="H18" s="342"/>
      <c r="I18" s="342">
        <f>SUBTOTAL(109,Ahu_Ashrae_Generic34[HEATING LOAD (CFM)])</f>
        <v>0</v>
      </c>
      <c r="J18" s="343">
        <f>SUBTOTAL(109,Ahu_Ashrae_Generic34[COOLING LOAD (CFM)])</f>
        <v>4050</v>
      </c>
      <c r="K18" s="63"/>
      <c r="L18" s="63"/>
      <c r="M18" s="344"/>
      <c r="N18" s="344"/>
      <c r="O18" s="344"/>
      <c r="P18" s="344"/>
      <c r="Q18" s="344"/>
      <c r="R18" s="344"/>
      <c r="S18" s="346" t="e">
        <f ca="1">SUBTOTAL(109,Ahu_Ashrae_Generic34[Occupants (Pz)])</f>
        <v>#VALUE!</v>
      </c>
      <c r="T18" s="346"/>
      <c r="U18" s="345" t="e">
        <f ca="1">SUBTOTAL(109,Ahu_Ashrae_Generic34[Uncorrected OA (Vou)])</f>
        <v>#VALUE!</v>
      </c>
      <c r="V18" s="344"/>
      <c r="W18" s="345" t="e">
        <f ca="1">SUBTOTAL(109,Ahu_Ashrae_Generic34[OUTSIDE AIRFLOW (CFM) (Vot)])</f>
        <v>#VALUE!</v>
      </c>
      <c r="X18" s="345"/>
      <c r="Y18" s="345"/>
      <c r="Z18" s="345"/>
      <c r="AA18" s="345"/>
      <c r="AB18" s="345"/>
      <c r="AC18" s="345"/>
      <c r="AD18" s="345" t="e">
        <f ca="1">SUBTOTAL(109,Ahu_Ashrae_Generic34[MIN OA ALLOWABLE (WITH DCV)])</f>
        <v>#N/A</v>
      </c>
      <c r="AE18" s="345"/>
      <c r="AF18" s="345"/>
      <c r="AG18" s="344"/>
      <c r="AH18" s="344"/>
      <c r="AI18" s="344"/>
      <c r="AJ18" s="344"/>
      <c r="AK18" s="344"/>
      <c r="AL18" s="345" t="e">
        <f>SUBTOTAL(109,Ahu_Ashrae_Generic34[DESIGN VAV MAX SA(CFM)])</f>
        <v>#VALUE!</v>
      </c>
      <c r="AM18" s="345" t="e">
        <f>SUBTOTAL(109,Ahu_Ashrae_Generic34[DESIGN RA (CFM)])</f>
        <v>#VALUE!</v>
      </c>
      <c r="AN18" s="345" t="e">
        <f>SUBTOTAL(109,Ahu_Ashrae_Generic34[DESIGN EA (CFM)])</f>
        <v>#VALUE!</v>
      </c>
      <c r="AO18" s="75"/>
    </row>
  </sheetData>
  <mergeCells count="6">
    <mergeCell ref="AK3:AM3"/>
    <mergeCell ref="Q1:R1"/>
    <mergeCell ref="T1:U1"/>
    <mergeCell ref="Z1:AA1"/>
    <mergeCell ref="A3:I3"/>
    <mergeCell ref="J3:AJ3"/>
  </mergeCells>
  <phoneticPr fontId="13" type="noConversion"/>
  <conditionalFormatting sqref="AL5:AL18">
    <cfRule type="dataBar" priority="1">
      <dataBar>
        <cfvo type="min"/>
        <cfvo type="max"/>
        <color rgb="FF638EC6"/>
      </dataBar>
      <extLst>
        <ext xmlns:x14="http://schemas.microsoft.com/office/spreadsheetml/2009/9/main" uri="{B025F937-C7B1-47D3-B67F-A62EFF666E3E}">
          <x14:id>{2F6CADD8-33F9-4437-A333-68A241B373B7}</x14:id>
        </ext>
      </extLst>
    </cfRule>
  </conditionalFormatting>
  <dataValidations disablePrompts="1" count="1">
    <dataValidation type="whole" allowBlank="1" showInputMessage="1" showErrorMessage="1" sqref="S1 AB1" xr:uid="{1CA1E914-57E0-49DE-B6C3-3D8634E3A2B1}">
      <formula1>-1</formula1>
      <formula2>99999</formula2>
    </dataValidation>
  </dataValidations>
  <pageMargins left="0.7" right="0.7" top="0.75" bottom="0.75" header="0.3" footer="0.3"/>
  <pageSetup scale="1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2F6CADD8-33F9-4437-A333-68A241B373B7}">
            <x14:dataBar minLength="0" maxLength="100" border="1" negativeBarBorderColorSameAsPositive="0">
              <x14:cfvo type="autoMin"/>
              <x14:cfvo type="autoMax"/>
              <x14:borderColor rgb="FF638EC6"/>
              <x14:negativeFillColor rgb="FFFF0000"/>
              <x14:negativeBorderColor rgb="FFFF0000"/>
              <x14:axisColor rgb="FF000000"/>
            </x14:dataBar>
          </x14:cfRule>
          <xm:sqref>AL5:AL18</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8FAEAD21-6883-4D19-8EBB-9E8EA299F1E0}">
          <x14:formula1>
            <xm:f>'ASHRAE Table'!$Q$19:$Q$20</xm:f>
          </x14:formula1>
          <xm:sqref>AA5:AA17</xm:sqref>
        </x14:dataValidation>
        <x14:dataValidation type="list" allowBlank="1" showInputMessage="1" showErrorMessage="1" xr:uid="{33682DDC-6DF7-4CB5-B610-38497D839872}">
          <x14:formula1>
            <xm:f>VA_Room_Data!$C$1:$C$742</xm:f>
          </x14:formula1>
          <xm:sqref>L5:L17</xm:sqref>
        </x14:dataValidation>
        <x14:dataValidation type="list" allowBlank="1" showInputMessage="1" showErrorMessage="1" xr:uid="{DD41A12C-2979-4549-A5C9-BAEA31827A5B}">
          <x14:formula1>
            <xm:f>VA_Room_Data!$A$1:$A$742</xm:f>
          </x14:formula1>
          <xm:sqref>K5:K17</xm:sqref>
        </x14:dataValidation>
        <x14:dataValidation type="list" allowBlank="1" showInputMessage="1" showErrorMessage="1" xr:uid="{39B7E114-1A06-417D-8606-6F86FF207E0B}">
          <x14:formula1>
            <xm:f>'ASHRAE Table'!$Q$3:$Q$13</xm:f>
          </x14:formula1>
          <xm:sqref>Y5:Y17</xm:sqref>
        </x14:dataValidation>
        <x14:dataValidation type="list" allowBlank="1" showInputMessage="1" showErrorMessage="1" xr:uid="{F14B44FB-1F9A-4450-A324-720E0053273D}">
          <x14:formula1>
            <xm:f>'DO NOT TOUCH'!$B$23:$B$24</xm:f>
          </x14:formula1>
          <xm:sqref>V1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75627-BC4D-4897-93C2-955F94019DDB}">
  <sheetPr codeName="Sheet11">
    <pageSetUpPr fitToPage="1"/>
  </sheetPr>
  <dimension ref="A1:AO18"/>
  <sheetViews>
    <sheetView showGridLines="0" zoomScale="82" zoomScaleNormal="100" workbookViewId="0">
      <selection activeCell="D37" sqref="D37"/>
    </sheetView>
  </sheetViews>
  <sheetFormatPr defaultRowHeight="13.2"/>
  <cols>
    <col min="1" max="1" width="21" bestFit="1" customWidth="1"/>
    <col min="2" max="2" width="19.5546875" bestFit="1" customWidth="1"/>
    <col min="3" max="3" width="19.33203125" bestFit="1" customWidth="1"/>
    <col min="4" max="4" width="20.88671875" bestFit="1" customWidth="1"/>
    <col min="5" max="5" width="20.88671875" customWidth="1"/>
    <col min="6" max="6" width="15.6640625" customWidth="1"/>
    <col min="7" max="8" width="16.6640625" customWidth="1"/>
    <col min="9" max="9" width="13.5546875" bestFit="1" customWidth="1"/>
    <col min="10" max="10" width="25.6640625" bestFit="1" customWidth="1"/>
    <col min="11" max="11" width="63" bestFit="1" customWidth="1"/>
    <col min="12" max="12" width="29.6640625" customWidth="1"/>
    <col min="13" max="13" width="22.33203125" customWidth="1"/>
    <col min="14" max="14" width="16.44140625" bestFit="1" customWidth="1"/>
    <col min="15" max="15" width="16.44140625" customWidth="1"/>
    <col min="16" max="16" width="21" bestFit="1" customWidth="1"/>
    <col min="17" max="17" width="17.44140625" customWidth="1"/>
    <col min="18" max="18" width="23.6640625" customWidth="1"/>
    <col min="19" max="19" width="21.88671875" bestFit="1" customWidth="1"/>
    <col min="20" max="20" width="20.6640625" bestFit="1" customWidth="1"/>
    <col min="21" max="21" width="16.77734375" customWidth="1"/>
    <col min="22" max="22" width="29.21875" bestFit="1" customWidth="1"/>
    <col min="23" max="23" width="16.5546875" customWidth="1"/>
    <col min="24" max="24" width="24" bestFit="1" customWidth="1"/>
    <col min="25" max="25" width="14.77734375" customWidth="1"/>
    <col min="26" max="26" width="19" bestFit="1" customWidth="1"/>
    <col min="27" max="27" width="21.109375" bestFit="1" customWidth="1"/>
    <col min="28" max="28" width="12.21875" bestFit="1" customWidth="1"/>
    <col min="29" max="29" width="29" bestFit="1" customWidth="1"/>
    <col min="30" max="31" width="27.88671875" customWidth="1"/>
    <col min="32" max="32" width="18.5546875" customWidth="1"/>
    <col min="33" max="33" width="21.44140625" customWidth="1"/>
    <col min="34" max="34" width="15.109375" customWidth="1"/>
    <col min="35" max="35" width="18" bestFit="1" customWidth="1"/>
    <col min="36" max="36" width="18" customWidth="1"/>
    <col min="37" max="37" width="21.33203125" bestFit="1" customWidth="1"/>
    <col min="38" max="39" width="20.88671875" bestFit="1" customWidth="1"/>
    <col min="40" max="40" width="19.5546875" bestFit="1" customWidth="1"/>
    <col min="41" max="41" width="26.6640625" bestFit="1" customWidth="1"/>
    <col min="42" max="42" width="33.44140625" bestFit="1" customWidth="1"/>
    <col min="43" max="43" width="17.44140625" bestFit="1" customWidth="1"/>
    <col min="44" max="44" width="18.5546875" bestFit="1" customWidth="1"/>
    <col min="45" max="45" width="25.33203125" bestFit="1" customWidth="1"/>
    <col min="46" max="46" width="34.109375" bestFit="1" customWidth="1"/>
    <col min="47" max="47" width="26.6640625" bestFit="1" customWidth="1"/>
    <col min="48" max="48" width="33.44140625" bestFit="1" customWidth="1"/>
    <col min="49" max="50" width="17.44140625" bestFit="1" customWidth="1"/>
    <col min="51" max="51" width="18.5546875" bestFit="1" customWidth="1"/>
    <col min="52" max="52" width="19.5546875" bestFit="1" customWidth="1"/>
    <col min="53" max="53" width="14.5546875" bestFit="1" customWidth="1"/>
    <col min="54" max="54" width="17.88671875" bestFit="1" customWidth="1"/>
    <col min="55" max="55" width="12.5546875" bestFit="1" customWidth="1"/>
    <col min="56" max="56" width="15.6640625" bestFit="1" customWidth="1"/>
    <col min="57" max="57" width="12.109375" bestFit="1" customWidth="1"/>
    <col min="58" max="58" width="15.6640625" bestFit="1" customWidth="1"/>
    <col min="59" max="59" width="12.88671875" bestFit="1" customWidth="1"/>
    <col min="60" max="60" width="14.5546875" bestFit="1" customWidth="1"/>
    <col min="61" max="61" width="13" bestFit="1" customWidth="1"/>
    <col min="62" max="62" width="15.6640625" bestFit="1" customWidth="1"/>
    <col min="63" max="63" width="14.88671875" bestFit="1" customWidth="1"/>
    <col min="64" max="64" width="15.6640625" bestFit="1" customWidth="1"/>
    <col min="65" max="65" width="18.5546875" bestFit="1" customWidth="1"/>
  </cols>
  <sheetData>
    <row r="1" spans="1:41" s="291" customFormat="1" ht="17.399999999999999">
      <c r="Q1" s="505" t="s">
        <v>677</v>
      </c>
      <c r="R1" s="505"/>
      <c r="S1" s="292">
        <v>100</v>
      </c>
      <c r="T1" s="505" t="s">
        <v>741</v>
      </c>
      <c r="U1" s="505"/>
      <c r="V1" s="292" t="s">
        <v>744</v>
      </c>
      <c r="W1" s="293" t="s">
        <v>745</v>
      </c>
      <c r="X1" s="294"/>
      <c r="Z1" s="505" t="s">
        <v>880</v>
      </c>
      <c r="AA1" s="505"/>
      <c r="AB1" s="294">
        <v>0</v>
      </c>
    </row>
    <row r="3" spans="1:41">
      <c r="A3" s="503" t="s">
        <v>75</v>
      </c>
      <c r="B3" s="504"/>
      <c r="C3" s="504"/>
      <c r="D3" s="504"/>
      <c r="E3" s="504"/>
      <c r="F3" s="504"/>
      <c r="G3" s="504"/>
      <c r="H3" s="504"/>
      <c r="I3" s="504"/>
      <c r="J3" s="503" t="s">
        <v>76</v>
      </c>
      <c r="K3" s="503"/>
      <c r="L3" s="503"/>
      <c r="M3" s="503"/>
      <c r="N3" s="503"/>
      <c r="O3" s="503"/>
      <c r="P3" s="503"/>
      <c r="Q3" s="503"/>
      <c r="R3" s="503"/>
      <c r="S3" s="503"/>
      <c r="T3" s="503"/>
      <c r="U3" s="503"/>
      <c r="V3" s="503"/>
      <c r="W3" s="503"/>
      <c r="X3" s="503"/>
      <c r="Y3" s="503"/>
      <c r="Z3" s="503"/>
      <c r="AA3" s="503"/>
      <c r="AB3" s="503"/>
      <c r="AC3" s="503"/>
      <c r="AD3" s="503"/>
      <c r="AE3" s="503"/>
      <c r="AF3" s="503"/>
      <c r="AG3" s="503"/>
      <c r="AH3" s="503"/>
      <c r="AI3" s="503"/>
      <c r="AJ3" s="503"/>
      <c r="AK3" s="503" t="s">
        <v>749</v>
      </c>
      <c r="AL3" s="504"/>
      <c r="AM3" s="504"/>
    </row>
    <row r="4" spans="1:41" s="11" customFormat="1" ht="46.8">
      <c r="A4" s="305" t="s">
        <v>77</v>
      </c>
      <c r="B4" s="305" t="s">
        <v>1076</v>
      </c>
      <c r="C4" s="305" t="s">
        <v>78</v>
      </c>
      <c r="D4" s="305" t="s">
        <v>79</v>
      </c>
      <c r="E4" s="297" t="s">
        <v>80</v>
      </c>
      <c r="F4" s="297" t="s">
        <v>732</v>
      </c>
      <c r="G4" s="297" t="s">
        <v>81</v>
      </c>
      <c r="H4" s="297" t="s">
        <v>82</v>
      </c>
      <c r="I4" s="297" t="s">
        <v>879</v>
      </c>
      <c r="J4" s="297" t="s">
        <v>878</v>
      </c>
      <c r="K4" s="297" t="s">
        <v>21</v>
      </c>
      <c r="L4" s="297" t="s">
        <v>83</v>
      </c>
      <c r="M4" s="297" t="s">
        <v>24</v>
      </c>
      <c r="N4" s="297" t="s">
        <v>25</v>
      </c>
      <c r="O4" s="297" t="s">
        <v>26</v>
      </c>
      <c r="P4" s="297" t="s">
        <v>736</v>
      </c>
      <c r="Q4" s="297" t="s">
        <v>737</v>
      </c>
      <c r="R4" s="297" t="s">
        <v>27</v>
      </c>
      <c r="S4" s="297" t="s">
        <v>29</v>
      </c>
      <c r="T4" s="297" t="s">
        <v>30</v>
      </c>
      <c r="U4" s="296" t="s">
        <v>31</v>
      </c>
      <c r="V4" s="296" t="s">
        <v>32</v>
      </c>
      <c r="W4" s="296" t="s">
        <v>33</v>
      </c>
      <c r="X4" s="296" t="s">
        <v>84</v>
      </c>
      <c r="Y4" s="296" t="s">
        <v>85</v>
      </c>
      <c r="Z4" s="296" t="s">
        <v>86</v>
      </c>
      <c r="AA4" s="296" t="s">
        <v>34</v>
      </c>
      <c r="AB4" s="296" t="s">
        <v>87</v>
      </c>
      <c r="AC4" s="296" t="s">
        <v>35</v>
      </c>
      <c r="AD4" s="296" t="s">
        <v>88</v>
      </c>
      <c r="AE4" s="296" t="s">
        <v>739</v>
      </c>
      <c r="AF4" s="296" t="s">
        <v>734</v>
      </c>
      <c r="AG4" s="297" t="s">
        <v>36</v>
      </c>
      <c r="AH4" s="297" t="s">
        <v>37</v>
      </c>
      <c r="AI4" s="297" t="s">
        <v>38</v>
      </c>
      <c r="AJ4" s="296" t="s">
        <v>89</v>
      </c>
      <c r="AK4" s="296" t="s">
        <v>733</v>
      </c>
      <c r="AL4" s="296" t="s">
        <v>90</v>
      </c>
      <c r="AM4" s="296" t="s">
        <v>91</v>
      </c>
      <c r="AN4" s="297" t="s">
        <v>672</v>
      </c>
      <c r="AO4" s="305" t="s">
        <v>93</v>
      </c>
    </row>
    <row r="5" spans="1:41" ht="15.6">
      <c r="A5" s="298" t="s">
        <v>99</v>
      </c>
      <c r="B5" s="298"/>
      <c r="C5" s="298">
        <v>102</v>
      </c>
      <c r="D5" s="298" t="s">
        <v>735</v>
      </c>
      <c r="E5" s="298">
        <v>200</v>
      </c>
      <c r="F5" s="298">
        <v>0</v>
      </c>
      <c r="G5" s="298">
        <v>0</v>
      </c>
      <c r="H5" s="299">
        <f>IF((VLOOKUP(Ahu_Ashrae_Generic[[#This Row],[Occupancy Category]],Ashrae90.1Vent[#All],7,FALSE)) = "YES",MROUND(E5/2,5),MROUND(E5,5))</f>
        <v>200</v>
      </c>
      <c r="I5" s="298"/>
      <c r="J5" s="298">
        <v>250</v>
      </c>
      <c r="K5" s="298" t="s">
        <v>45</v>
      </c>
      <c r="L5" s="298" t="s">
        <v>376</v>
      </c>
      <c r="M5" s="300">
        <f>VLOOKUP(Ahu_Ashrae_Generic[[#This Row],[Occupancy Category]],Ashrae90.1Vent[#All],2,FALSE)</f>
        <v>5</v>
      </c>
      <c r="N5" s="300">
        <f>VLOOKUP(Ahu_Ashrae_Generic[[#This Row],[Occupancy Category]],Ashrae90.1Vent[#All],3,FALSE)</f>
        <v>0.06</v>
      </c>
      <c r="O5" s="300">
        <f>VLOOKUP(Ahu_Ashrae_Generic[[#This Row],[Occupancy Category]],Ashrae90.1Vent[#All],4,FALSE)</f>
        <v>5</v>
      </c>
      <c r="P5" s="300">
        <f>Ahu_Ashrae_Generic[[#This Row],[Occupants (Pz)]]*Ahu_Ashrae_Generic[[#This Row],[RP
(CFM/PER PERSON)]]</f>
        <v>5</v>
      </c>
      <c r="Q5" s="300">
        <f>Ahu_Ashrae_Generic[[#This Row],[RA
(CFM/FT²)]]*Ahu_Ashrae_Generic[[#This Row],[AREA (FT²)]]</f>
        <v>12</v>
      </c>
      <c r="R5" s="300">
        <f>VLOOKUP(Ahu_Ashrae_Generic[[#This Row],[Occupancy Category]],Ashrae90.1Vent[#All],5,FALSE)</f>
        <v>1</v>
      </c>
      <c r="S5" s="300">
        <f>CEILING((O5/1000)*E5,1)</f>
        <v>1</v>
      </c>
      <c r="T5" s="301">
        <f>IF(($S$1/Ahu_Ashrae_Generic[[#Totals],[Occupants (Pz)]])&gt;1,1,$S$1/Ahu_Ashrae_Generic[[#Totals],[Occupants (Pz)]])</f>
        <v>0.53475935828877008</v>
      </c>
      <c r="U5" s="302">
        <f>(Ahu_Ashrae_Generic[[#This Row],[DIVERSITY (D)]]*Ahu_Ashrae_Generic[[#This Row],[RP
(CFM/PER PERSON)]]*Ahu_Ashrae_Generic[[#This Row],[Occupants (Pz)]])+(Ahu_Ashrae_Generic[[#This Row],[RA
(CFM/FT²)]]*Ahu_Ashrae_Generic[[#This Row],[AREA (FT²)]])</f>
        <v>14.67379679144385</v>
      </c>
      <c r="V5" s="301">
        <f>IF(Ahu_Ashrae_Generic[[#This Row],[DIVERSITY (D)]]&lt;0.6,(0.88*Ahu_Ashrae_Generic[[#This Row],[DIVERSITY (D)]]+0.22),0.75)</f>
        <v>0.69058823529411772</v>
      </c>
      <c r="W5" s="302">
        <f>Ahu_Ashrae_Generic[[#This Row],[Uncorrected OA (Vou)]]/Ahu_Ashrae_Generic[[#This Row],[System Efficiency (Ev)]]</f>
        <v>21.248257704816474</v>
      </c>
      <c r="X5" s="302">
        <f>(Ahu_Ashrae_Generic[[#This Row],[RP
(CFM/PER PERSON)]]*Ahu_Ashrae_Generic[[#This Row],[Occupants (Pz)]])+(Ahu_Ashrae_Generic[[#This Row],[RA
(CFM/FT²)]]*Ahu_Ashrae_Generic[[#This Row],[AREA (FT²)]])</f>
        <v>17</v>
      </c>
      <c r="Y5" s="298">
        <v>0.8</v>
      </c>
      <c r="Z5" s="302">
        <f>Ahu_Ashrae_Generic[[#This Row],[Breathing Zone OA (Vbz)]]/Ahu_Ashrae_Generic[[#This Row],[Zone Efficiency (Ez)]]</f>
        <v>21.25</v>
      </c>
      <c r="AA5" s="303" t="s">
        <v>46</v>
      </c>
      <c r="AB5" s="300" t="str" cm="1">
        <f t="array" aca="1" ref="AB5" ca="1">corequirement(Ahu_Ashrae_Generic[[#This Row],[AREA (FT²)]],Ahu_Ashrae_Generic[[#This Row],[EXHAUST RECOVERY]],INPUT_OUTPUTS!$C$6,Ahu_Ashrae_Generic[[#This Row],[Occupant Component]])</f>
        <v>NO</v>
      </c>
      <c r="AC5" s="302" t="str">
        <f>VLOOKUP(Ahu_Ashrae_Generic[[#This Row],[Occupancy Category]],Ashrae90.1Vent[#All],6,FALSE)</f>
        <v>YES</v>
      </c>
      <c r="AD5" s="302">
        <f ca="1">IF(Ahu_Ashrae_Generic[[#This Row],[CO2 SENSOR]]="YES",IF(Ahu_Ashrae_Generic[[#This Row],[OS]]="NO",Ahu_Ashrae_Generic[[#This Row],[Area Component]],0),IF(Ahu_Ashrae_Generic[[#This Row],[OS]]="YES",Ahu_Ashrae_Generic[[#This Row],[Occupant Component]],Ahu_Ashrae_Generic[[#This Row],[OUTSIDE AIRFLOW (CFM) (Vot)]]))</f>
        <v>5</v>
      </c>
      <c r="AE5" s="304">
        <v>100</v>
      </c>
      <c r="AF5" s="302" t="str">
        <f>IF(Ahu_Ashrae_Generic[[#This Row],[Exhaust Category]] = "NOT APPLICABLE","NR","YES")</f>
        <v>NR</v>
      </c>
      <c r="AG5" s="302" t="str">
        <f>IF(Ahu_Ashrae_Generic[[#This Row],[Exhaust Category]]="NOT APPLICABLE","NA",VLOOKUP(Ahu_Ashrae_Generic[[#This Row],[Exhaust Category]],ASHRAE_EA_Table[#All],2,FALSE))</f>
        <v>NA</v>
      </c>
      <c r="AH5" s="302" t="str">
        <f>IF(Ahu_Ashrae_Generic[[#This Row],[Exhaust Category]]="NOT APPLICABLE","NA",VLOOKUP(Ahu_Ashrae_Generic[[#This Row],[Exhaust Category]],ASHRAE_EA_Table[#All],3,FALSE))</f>
        <v>NA</v>
      </c>
      <c r="AI5" s="300">
        <f>Ahu_Ashrae_Generic[[#This Row],[Misc Exhaust From Room]]+(IFERROR(IF(Ahu_Ashrae_Generic[[#This Row],[EA RATE
(CFM/UNIT)]] = "NA",Ahu_Ashrae_Generic[[#This Row],[EA RATE
(CFM/FT²)]]*Ahu_Ashrae_Generic[[#This Row],[AREA (FT²)]],Ahu_Ashrae_Generic[[#This Row],[EA RATE
(CFM/UNIT)]]*Ahu_Ashrae_Generic[[#This Row],[Exhaust Units]]),0))</f>
        <v>100</v>
      </c>
      <c r="AJ5" s="302">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75</v>
      </c>
      <c r="AK5" s="302" cm="1">
        <f t="array" aca="1" ref="AK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250</v>
      </c>
      <c r="AL5" s="304">
        <f ca="1">Ahu_Ashrae_Generic[[#This Row],[Calculated VAV Max CFM]]</f>
        <v>250</v>
      </c>
      <c r="AM5" s="298" cm="1">
        <f t="array" aca="1" ref="AM5" ca="1">Returnair(Ahu_Ashrae_Generic[[#This Row],[Calculated VAV Max CFM]],Ahu_Ashrae_Generic[[#This Row],[Desired Room Balance]],Ahu_Ashrae_Generic[[#This Row],[Exhausted?]],Ahu_Ashrae_Generic[[#This Row],[Misc Exhaust From Room]])</f>
        <v>150</v>
      </c>
      <c r="AN5" s="298" cm="1">
        <f t="array" aca="1" ref="AN5" ca="1">Exhaustair(Ahu_Ashrae_Generic[[#This Row],[DESIGN VAV MAX SA(CFM)]],Ahu_Ashrae_Generic[[#This Row],[Exhausted?]],Ahu_Ashrae_Generic[[#This Row],[MIN ASHRAE EA
(CFM)]],Ahu_Ashrae_Generic[[#This Row],[Desired Room Balance]],Ahu_Ashrae_Generic[[#This Row],[Misc Exhaust From Room]])</f>
        <v>100</v>
      </c>
      <c r="AO5" s="295">
        <f ca="1">Ahu_Ashrae_Generic[[#This Row],[OUTSIDE AIRFLOW (CFM) (Vot)]]/Ahu_Ashrae_Generic[[#This Row],[DESIGN VAV MAX SA(CFM)]]</f>
        <v>8.4993030819265902E-2</v>
      </c>
    </row>
    <row r="6" spans="1:41" ht="15.6">
      <c r="A6" s="92" t="s">
        <v>99</v>
      </c>
      <c r="B6" s="92"/>
      <c r="C6" s="92">
        <v>102</v>
      </c>
      <c r="D6" s="92" t="s">
        <v>738</v>
      </c>
      <c r="E6" s="92">
        <v>550</v>
      </c>
      <c r="F6" s="92">
        <v>0</v>
      </c>
      <c r="G6" s="92">
        <v>0</v>
      </c>
      <c r="H6" s="111">
        <f>IF((VLOOKUP(Ahu_Ashrae_Generic[[#This Row],[Occupancy Category]],Ashrae90.1Vent[#All],7,FALSE)) = "YES",MROUND(E6/2,5),MROUND(E6,5))</f>
        <v>550</v>
      </c>
      <c r="I6" s="92"/>
      <c r="J6" s="92">
        <v>500</v>
      </c>
      <c r="K6" s="92" t="s">
        <v>45</v>
      </c>
      <c r="L6" s="92" t="s">
        <v>376</v>
      </c>
      <c r="M6" s="94">
        <f>VLOOKUP(Ahu_Ashrae_Generic[[#This Row],[Occupancy Category]],Ashrae90.1Vent[#All],2,FALSE)</f>
        <v>5</v>
      </c>
      <c r="N6" s="94">
        <f>VLOOKUP(Ahu_Ashrae_Generic[[#This Row],[Occupancy Category]],Ashrae90.1Vent[#All],3,FALSE)</f>
        <v>0.06</v>
      </c>
      <c r="O6" s="94">
        <f>VLOOKUP(Ahu_Ashrae_Generic[[#This Row],[Occupancy Category]],Ashrae90.1Vent[#All],4,FALSE)</f>
        <v>5</v>
      </c>
      <c r="P6" s="300">
        <f>Ahu_Ashrae_Generic[[#This Row],[Occupants (Pz)]]*Ahu_Ashrae_Generic[[#This Row],[RP
(CFM/PER PERSON)]]</f>
        <v>15</v>
      </c>
      <c r="Q6" s="94">
        <f>Ahu_Ashrae_Generic[[#This Row],[RA
(CFM/FT²)]]*Ahu_Ashrae_Generic[[#This Row],[AREA (FT²)]]</f>
        <v>33</v>
      </c>
      <c r="R6" s="94">
        <f>VLOOKUP(Ahu_Ashrae_Generic[[#This Row],[Occupancy Category]],Ashrae90.1Vent[#All],5,FALSE)</f>
        <v>1</v>
      </c>
      <c r="S6" s="94">
        <f>CEILING((O6/1000)*E6,1)</f>
        <v>3</v>
      </c>
      <c r="T6" s="96">
        <f>IF(($S$1/Ahu_Ashrae_Generic[[#Totals],[Occupants (Pz)]])&gt;1,1,$S$1/Ahu_Ashrae_Generic[[#Totals],[Occupants (Pz)]])</f>
        <v>0.53475935828877008</v>
      </c>
      <c r="U6" s="95">
        <f>(Ahu_Ashrae_Generic[[#This Row],[DIVERSITY (D)]]*Ahu_Ashrae_Generic[[#This Row],[RP
(CFM/PER PERSON)]]*Ahu_Ashrae_Generic[[#This Row],[Occupants (Pz)]])+(Ahu_Ashrae_Generic[[#This Row],[RA
(CFM/FT²)]]*Ahu_Ashrae_Generic[[#This Row],[AREA (FT²)]])</f>
        <v>41.021390374331553</v>
      </c>
      <c r="V6" s="96">
        <f>IF(Ahu_Ashrae_Generic[[#This Row],[DIVERSITY (D)]]&lt;0.6,(0.88*Ahu_Ashrae_Generic[[#This Row],[DIVERSITY (D)]]+0.22),0.75)</f>
        <v>0.69058823529411772</v>
      </c>
      <c r="W6" s="95">
        <f>Ahu_Ashrae_Generic[[#This Row],[Uncorrected OA (Vou)]]/Ahu_Ashrae_Generic[[#This Row],[System Efficiency (Ev)]]</f>
        <v>59.400650456868512</v>
      </c>
      <c r="X6" s="95">
        <f>(Ahu_Ashrae_Generic[[#This Row],[RP
(CFM/PER PERSON)]]*Ahu_Ashrae_Generic[[#This Row],[Occupants (Pz)]])+(Ahu_Ashrae_Generic[[#This Row],[RA
(CFM/FT²)]]*Ahu_Ashrae_Generic[[#This Row],[AREA (FT²)]])</f>
        <v>48</v>
      </c>
      <c r="Y6" s="287">
        <v>0.8</v>
      </c>
      <c r="Z6" s="95">
        <f>Ahu_Ashrae_Generic[[#This Row],[Breathing Zone OA (Vbz)]]/Ahu_Ashrae_Generic[[#This Row],[Zone Efficiency (Ez)]]</f>
        <v>60</v>
      </c>
      <c r="AA6" s="286" t="s">
        <v>46</v>
      </c>
      <c r="AB6" s="300" t="str" cm="1">
        <f t="array" aca="1" ref="AB6" ca="1">corequirement(Ahu_Ashrae_Generic[[#This Row],[AREA (FT²)]],Ahu_Ashrae_Generic[[#This Row],[EXHAUST RECOVERY]],INPUT_OUTPUTS!$C$6,Ahu_Ashrae_Generic[[#This Row],[Occupant Component]])</f>
        <v>NO</v>
      </c>
      <c r="AC6" s="95" t="str">
        <f>VLOOKUP(Ahu_Ashrae_Generic[[#This Row],[Occupancy Category]],Ashrae90.1Vent[#All],6,FALSE)</f>
        <v>YES</v>
      </c>
      <c r="AD6" s="95">
        <f ca="1">IF(Ahu_Ashrae_Generic[[#This Row],[CO2 SENSOR]]="YES",IF(Ahu_Ashrae_Generic[[#This Row],[OS]]="NO",Ahu_Ashrae_Generic[[#This Row],[Area Component]],0),IF(Ahu_Ashrae_Generic[[#This Row],[OS]]="YES",Ahu_Ashrae_Generic[[#This Row],[Occupant Component]],Ahu_Ashrae_Generic[[#This Row],[OUTSIDE AIRFLOW (CFM) (Vot)]]))</f>
        <v>15</v>
      </c>
      <c r="AE6" s="139">
        <v>0</v>
      </c>
      <c r="AF6" s="95" t="str">
        <f>IF(Ahu_Ashrae_Generic[[#This Row],[Exhaust Category]] = "NOT APPLICABLE","NR","YES")</f>
        <v>NR</v>
      </c>
      <c r="AG6" s="95" t="str">
        <f>IF(Ahu_Ashrae_Generic[[#This Row],[Exhaust Category]]="NOT APPLICABLE","NA",VLOOKUP(Ahu_Ashrae_Generic[[#This Row],[Exhaust Category]],ASHRAE_EA_Table[#All],2,FALSE))</f>
        <v>NA</v>
      </c>
      <c r="AH6" s="95" t="str">
        <f>IF(Ahu_Ashrae_Generic[[#This Row],[Exhaust Category]]="NOT APPLICABLE","NA",VLOOKUP(Ahu_Ashrae_Generic[[#This Row],[Exhaust Category]],ASHRAE_EA_Table[#All],3,FALSE))</f>
        <v>NA</v>
      </c>
      <c r="AI6" s="94">
        <f>Ahu_Ashrae_Generic[[#This Row],[Misc Exhaust From Room]]+(IFERROR(IF(Ahu_Ashrae_Generic[[#This Row],[EA RATE
(CFM/UNIT)]] = "NA",Ahu_Ashrae_Generic[[#This Row],[EA RATE
(CFM/FT²)]]*Ahu_Ashrae_Generic[[#This Row],[AREA (FT²)]],Ahu_Ashrae_Generic[[#This Row],[EA RATE
(CFM/UNIT)]]*Ahu_Ashrae_Generic[[#This Row],[Exhaust Units]]),0))</f>
        <v>0</v>
      </c>
      <c r="AJ6"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6" s="95" cm="1">
        <f t="array" aca="1" ref="AK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6" s="139">
        <f ca="1">Ahu_Ashrae_Generic[[#This Row],[Calculated VAV Max CFM]]</f>
        <v>550</v>
      </c>
      <c r="AM6" s="92" cm="1">
        <f t="array" aca="1" ref="AM6" ca="1">Returnair(Ahu_Ashrae_Generic[[#This Row],[Calculated VAV Max CFM]],Ahu_Ashrae_Generic[[#This Row],[Desired Room Balance]],Ahu_Ashrae_Generic[[#This Row],[Exhausted?]],Ahu_Ashrae_Generic[[#This Row],[Misc Exhaust From Room]])</f>
        <v>550</v>
      </c>
      <c r="AN6" s="92" cm="1">
        <f t="array" aca="1" ref="AN6" ca="1">Exhaustair(Ahu_Ashrae_Generic[[#This Row],[DESIGN VAV MAX SA(CFM)]],Ahu_Ashrae_Generic[[#This Row],[Exhausted?]],Ahu_Ashrae_Generic[[#This Row],[MIN ASHRAE EA
(CFM)]],Ahu_Ashrae_Generic[[#This Row],[Desired Room Balance]],Ahu_Ashrae_Generic[[#This Row],[Misc Exhaust From Room]])</f>
        <v>0</v>
      </c>
      <c r="AO6" s="69">
        <f ca="1">Ahu_Ashrae_Generic[[#This Row],[OUTSIDE AIRFLOW (CFM) (Vot)]]/Ahu_Ashrae_Generic[[#This Row],[DESIGN VAV MAX SA(CFM)]]</f>
        <v>0.10800118264885183</v>
      </c>
    </row>
    <row r="7" spans="1:41" ht="15.6">
      <c r="A7" s="92" t="s">
        <v>99</v>
      </c>
      <c r="B7" s="92"/>
      <c r="C7" s="92">
        <v>102</v>
      </c>
      <c r="D7" s="92" t="s">
        <v>735</v>
      </c>
      <c r="E7" s="92">
        <v>550</v>
      </c>
      <c r="F7" s="92">
        <v>0</v>
      </c>
      <c r="G7" s="92">
        <v>4</v>
      </c>
      <c r="H7" s="111">
        <f>IF((VLOOKUP(Ahu_Ashrae_Generic[[#This Row],[Occupancy Category]],Ashrae90.1Vent[#All],7,FALSE)) = "YES",MROUND(E7/2,5),MROUND(E7,5))</f>
        <v>550</v>
      </c>
      <c r="I7" s="92"/>
      <c r="J7" s="92">
        <v>300</v>
      </c>
      <c r="K7" s="92" t="s">
        <v>45</v>
      </c>
      <c r="L7" s="92" t="s">
        <v>376</v>
      </c>
      <c r="M7" s="94">
        <f>VLOOKUP(Ahu_Ashrae_Generic[[#This Row],[Occupancy Category]],Ashrae90.1Vent[#All],2,FALSE)</f>
        <v>5</v>
      </c>
      <c r="N7" s="94">
        <f>VLOOKUP(Ahu_Ashrae_Generic[[#This Row],[Occupancy Category]],Ashrae90.1Vent[#All],3,FALSE)</f>
        <v>0.06</v>
      </c>
      <c r="O7" s="94">
        <f>VLOOKUP(Ahu_Ashrae_Generic[[#This Row],[Occupancy Category]],Ashrae90.1Vent[#All],4,FALSE)</f>
        <v>5</v>
      </c>
      <c r="P7" s="300">
        <f>Ahu_Ashrae_Generic[[#This Row],[Occupants (Pz)]]*Ahu_Ashrae_Generic[[#This Row],[RP
(CFM/PER PERSON)]]</f>
        <v>15</v>
      </c>
      <c r="Q7" s="94">
        <f>Ahu_Ashrae_Generic[[#This Row],[RA
(CFM/FT²)]]*Ahu_Ashrae_Generic[[#This Row],[AREA (FT²)]]</f>
        <v>33</v>
      </c>
      <c r="R7" s="94">
        <f>VLOOKUP(Ahu_Ashrae_Generic[[#This Row],[Occupancy Category]],Ashrae90.1Vent[#All],5,FALSE)</f>
        <v>1</v>
      </c>
      <c r="S7" s="94">
        <f t="shared" ref="S7:S17" si="0">CEILING((O7/1000)*E7,1)</f>
        <v>3</v>
      </c>
      <c r="T7" s="96">
        <f>IF(($S$1/Ahu_Ashrae_Generic[[#Totals],[Occupants (Pz)]])&gt;1,1,$S$1/Ahu_Ashrae_Generic[[#Totals],[Occupants (Pz)]])</f>
        <v>0.53475935828877008</v>
      </c>
      <c r="U7" s="95">
        <f>(Ahu_Ashrae_Generic[[#This Row],[DIVERSITY (D)]]*Ahu_Ashrae_Generic[[#This Row],[RP
(CFM/PER PERSON)]]*Ahu_Ashrae_Generic[[#This Row],[Occupants (Pz)]])+(Ahu_Ashrae_Generic[[#This Row],[RA
(CFM/FT²)]]*Ahu_Ashrae_Generic[[#This Row],[AREA (FT²)]])</f>
        <v>41.021390374331553</v>
      </c>
      <c r="V7" s="96">
        <f>IF(Ahu_Ashrae_Generic[[#This Row],[DIVERSITY (D)]]&lt;0.6,(0.88*Ahu_Ashrae_Generic[[#This Row],[DIVERSITY (D)]]+0.22),0.75)</f>
        <v>0.69058823529411772</v>
      </c>
      <c r="W7" s="95">
        <f>Ahu_Ashrae_Generic[[#This Row],[Uncorrected OA (Vou)]]/Ahu_Ashrae_Generic[[#This Row],[System Efficiency (Ev)]]</f>
        <v>59.400650456868512</v>
      </c>
      <c r="X7" s="95">
        <f>(Ahu_Ashrae_Generic[[#This Row],[RP
(CFM/PER PERSON)]]*Ahu_Ashrae_Generic[[#This Row],[Occupants (Pz)]])+(Ahu_Ashrae_Generic[[#This Row],[RA
(CFM/FT²)]]*Ahu_Ashrae_Generic[[#This Row],[AREA (FT²)]])</f>
        <v>48</v>
      </c>
      <c r="Y7" s="92">
        <v>0.8</v>
      </c>
      <c r="Z7" s="95">
        <f>Ahu_Ashrae_Generic[[#This Row],[Breathing Zone OA (Vbz)]]/Ahu_Ashrae_Generic[[#This Row],[Zone Efficiency (Ez)]]</f>
        <v>60</v>
      </c>
      <c r="AA7" s="286" t="s">
        <v>46</v>
      </c>
      <c r="AB7" s="300" t="str" cm="1">
        <f t="array" aca="1" ref="AB7" ca="1">corequirement(Ahu_Ashrae_Generic[[#This Row],[AREA (FT²)]],Ahu_Ashrae_Generic[[#This Row],[EXHAUST RECOVERY]],INPUT_OUTPUTS!$C$6,Ahu_Ashrae_Generic[[#This Row],[Occupant Component]])</f>
        <v>NO</v>
      </c>
      <c r="AC7" s="95" t="str">
        <f>VLOOKUP(Ahu_Ashrae_Generic[[#This Row],[Occupancy Category]],Ashrae90.1Vent[#All],6,FALSE)</f>
        <v>YES</v>
      </c>
      <c r="AD7" s="95">
        <f ca="1">IF(Ahu_Ashrae_Generic[[#This Row],[CO2 SENSOR]]="YES",IF(Ahu_Ashrae_Generic[[#This Row],[OS]]="NO",Ahu_Ashrae_Generic[[#This Row],[Area Component]],0),IF(Ahu_Ashrae_Generic[[#This Row],[OS]]="YES",Ahu_Ashrae_Generic[[#This Row],[Occupant Component]],Ahu_Ashrae_Generic[[#This Row],[OUTSIDE AIRFLOW (CFM) (Vot)]]))</f>
        <v>15</v>
      </c>
      <c r="AE7" s="139">
        <v>0</v>
      </c>
      <c r="AF7" s="95" t="str">
        <f>IF(Ahu_Ashrae_Generic[[#This Row],[Exhaust Category]] = "NOT APPLICABLE","NR","YES")</f>
        <v>NR</v>
      </c>
      <c r="AG7" s="95" t="str">
        <f>IF(Ahu_Ashrae_Generic[[#This Row],[Exhaust Category]]="NOT APPLICABLE","NA",VLOOKUP(Ahu_Ashrae_Generic[[#This Row],[Exhaust Category]],ASHRAE_EA_Table[#All],2,FALSE))</f>
        <v>NA</v>
      </c>
      <c r="AH7" s="95" t="str">
        <f>IF(Ahu_Ashrae_Generic[[#This Row],[Exhaust Category]]="NOT APPLICABLE","NA",VLOOKUP(Ahu_Ashrae_Generic[[#This Row],[Exhaust Category]],ASHRAE_EA_Table[#All],3,FALSE))</f>
        <v>NA</v>
      </c>
      <c r="AI7" s="94">
        <f>Ahu_Ashrae_Generic[[#This Row],[Misc Exhaust From Room]]+(IFERROR(IF(Ahu_Ashrae_Generic[[#This Row],[EA RATE
(CFM/UNIT)]] = "NA",Ahu_Ashrae_Generic[[#This Row],[EA RATE
(CFM/FT²)]]*Ahu_Ashrae_Generic[[#This Row],[AREA (FT²)]],Ahu_Ashrae_Generic[[#This Row],[EA RATE
(CFM/UNIT)]]*Ahu_Ashrae_Generic[[#This Row],[Exhaust Units]]),0))</f>
        <v>0</v>
      </c>
      <c r="AJ7"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7" s="95" cm="1">
        <f t="array" aca="1" ref="AK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7" s="139">
        <f ca="1">Ahu_Ashrae_Generic[[#This Row],[Calculated VAV Max CFM]]</f>
        <v>550</v>
      </c>
      <c r="AM7" s="92" cm="1">
        <f t="array" aca="1" ref="AM7" ca="1">Returnair(Ahu_Ashrae_Generic[[#This Row],[Calculated VAV Max CFM]],Ahu_Ashrae_Generic[[#This Row],[Desired Room Balance]],Ahu_Ashrae_Generic[[#This Row],[Exhausted?]],Ahu_Ashrae_Generic[[#This Row],[Misc Exhaust From Room]])</f>
        <v>550</v>
      </c>
      <c r="AN7" s="92" cm="1">
        <f t="array" aca="1" ref="AN7" ca="1">Exhaustair(Ahu_Ashrae_Generic[[#This Row],[DESIGN VAV MAX SA(CFM)]],Ahu_Ashrae_Generic[[#This Row],[Exhausted?]],Ahu_Ashrae_Generic[[#This Row],[MIN ASHRAE EA
(CFM)]],Ahu_Ashrae_Generic[[#This Row],[Desired Room Balance]],Ahu_Ashrae_Generic[[#This Row],[Misc Exhaust From Room]])</f>
        <v>0</v>
      </c>
      <c r="AO7" s="69">
        <f ca="1">Ahu_Ashrae_Generic[[#This Row],[OUTSIDE AIRFLOW (CFM) (Vot)]]/Ahu_Ashrae_Generic[[#This Row],[DESIGN VAV MAX SA(CFM)]]</f>
        <v>0.10800118264885183</v>
      </c>
    </row>
    <row r="8" spans="1:41" ht="15.6">
      <c r="A8" s="92" t="s">
        <v>99</v>
      </c>
      <c r="B8" s="92"/>
      <c r="C8" s="92">
        <v>102</v>
      </c>
      <c r="D8" s="92" t="s">
        <v>735</v>
      </c>
      <c r="E8" s="92">
        <v>550</v>
      </c>
      <c r="F8" s="92">
        <v>0</v>
      </c>
      <c r="G8" s="92">
        <v>4</v>
      </c>
      <c r="H8" s="111">
        <f>IF((VLOOKUP(Ahu_Ashrae_Generic[[#This Row],[Occupancy Category]],Ashrae90.1Vent[#All],7,FALSE)) = "YES",MROUND(E8/2,5),MROUND(E8,5))</f>
        <v>550</v>
      </c>
      <c r="I8" s="92"/>
      <c r="J8" s="92">
        <v>300</v>
      </c>
      <c r="K8" s="92" t="s">
        <v>45</v>
      </c>
      <c r="L8" s="92" t="s">
        <v>376</v>
      </c>
      <c r="M8" s="94">
        <f>VLOOKUP(Ahu_Ashrae_Generic[[#This Row],[Occupancy Category]],Ashrae90.1Vent[#All],2,FALSE)</f>
        <v>5</v>
      </c>
      <c r="N8" s="94">
        <f>VLOOKUP(Ahu_Ashrae_Generic[[#This Row],[Occupancy Category]],Ashrae90.1Vent[#All],3,FALSE)</f>
        <v>0.06</v>
      </c>
      <c r="O8" s="94">
        <f>VLOOKUP(Ahu_Ashrae_Generic[[#This Row],[Occupancy Category]],Ashrae90.1Vent[#All],4,FALSE)</f>
        <v>5</v>
      </c>
      <c r="P8" s="300">
        <f>Ahu_Ashrae_Generic[[#This Row],[Occupants (Pz)]]*Ahu_Ashrae_Generic[[#This Row],[RP
(CFM/PER PERSON)]]</f>
        <v>15</v>
      </c>
      <c r="Q8" s="94">
        <f>Ahu_Ashrae_Generic[[#This Row],[RA
(CFM/FT²)]]*Ahu_Ashrae_Generic[[#This Row],[AREA (FT²)]]</f>
        <v>33</v>
      </c>
      <c r="R8" s="94">
        <f>VLOOKUP(Ahu_Ashrae_Generic[[#This Row],[Occupancy Category]],Ashrae90.1Vent[#All],5,FALSE)</f>
        <v>1</v>
      </c>
      <c r="S8" s="94">
        <f t="shared" si="0"/>
        <v>3</v>
      </c>
      <c r="T8" s="96">
        <f>IF(($S$1/Ahu_Ashrae_Generic[[#Totals],[Occupants (Pz)]])&gt;1,1,$S$1/Ahu_Ashrae_Generic[[#Totals],[Occupants (Pz)]])</f>
        <v>0.53475935828877008</v>
      </c>
      <c r="U8" s="95">
        <f>(Ahu_Ashrae_Generic[[#This Row],[DIVERSITY (D)]]*Ahu_Ashrae_Generic[[#This Row],[RP
(CFM/PER PERSON)]]*Ahu_Ashrae_Generic[[#This Row],[Occupants (Pz)]])+(Ahu_Ashrae_Generic[[#This Row],[RA
(CFM/FT²)]]*Ahu_Ashrae_Generic[[#This Row],[AREA (FT²)]])</f>
        <v>41.021390374331553</v>
      </c>
      <c r="V8" s="96">
        <f>IF(Ahu_Ashrae_Generic[[#This Row],[DIVERSITY (D)]]&lt;0.6,(0.88*Ahu_Ashrae_Generic[[#This Row],[DIVERSITY (D)]]+0.22),0.75)</f>
        <v>0.69058823529411772</v>
      </c>
      <c r="W8" s="95">
        <f>Ahu_Ashrae_Generic[[#This Row],[Uncorrected OA (Vou)]]/Ahu_Ashrae_Generic[[#This Row],[System Efficiency (Ev)]]</f>
        <v>59.400650456868512</v>
      </c>
      <c r="X8" s="95">
        <f>(Ahu_Ashrae_Generic[[#This Row],[RP
(CFM/PER PERSON)]]*Ahu_Ashrae_Generic[[#This Row],[Occupants (Pz)]])+(Ahu_Ashrae_Generic[[#This Row],[RA
(CFM/FT²)]]*Ahu_Ashrae_Generic[[#This Row],[AREA (FT²)]])</f>
        <v>48</v>
      </c>
      <c r="Y8" s="92">
        <v>0.8</v>
      </c>
      <c r="Z8" s="95">
        <f>Ahu_Ashrae_Generic[[#This Row],[Breathing Zone OA (Vbz)]]/Ahu_Ashrae_Generic[[#This Row],[Zone Efficiency (Ez)]]</f>
        <v>60</v>
      </c>
      <c r="AA8" s="286" t="s">
        <v>46</v>
      </c>
      <c r="AB8" s="300" t="str" cm="1">
        <f t="array" aca="1" ref="AB8" ca="1">corequirement(Ahu_Ashrae_Generic[[#This Row],[AREA (FT²)]],Ahu_Ashrae_Generic[[#This Row],[EXHAUST RECOVERY]],INPUT_OUTPUTS!$C$6,Ahu_Ashrae_Generic[[#This Row],[Occupant Component]])</f>
        <v>NO</v>
      </c>
      <c r="AC8" s="95" t="str">
        <f>VLOOKUP(Ahu_Ashrae_Generic[[#This Row],[Occupancy Category]],Ashrae90.1Vent[#All],6,FALSE)</f>
        <v>YES</v>
      </c>
      <c r="AD8" s="95">
        <f ca="1">IF(Ahu_Ashrae_Generic[[#This Row],[CO2 SENSOR]]="YES",IF(Ahu_Ashrae_Generic[[#This Row],[OS]]="NO",Ahu_Ashrae_Generic[[#This Row],[Area Component]],0),IF(Ahu_Ashrae_Generic[[#This Row],[OS]]="YES",Ahu_Ashrae_Generic[[#This Row],[Occupant Component]],Ahu_Ashrae_Generic[[#This Row],[OUTSIDE AIRFLOW (CFM) (Vot)]]))</f>
        <v>15</v>
      </c>
      <c r="AE8" s="139">
        <v>0</v>
      </c>
      <c r="AF8" s="95" t="str">
        <f>IF(Ahu_Ashrae_Generic[[#This Row],[Exhaust Category]] = "NOT APPLICABLE","NR","YES")</f>
        <v>NR</v>
      </c>
      <c r="AG8" s="95" t="str">
        <f>IF(Ahu_Ashrae_Generic[[#This Row],[Exhaust Category]]="NOT APPLICABLE","NA",VLOOKUP(Ahu_Ashrae_Generic[[#This Row],[Exhaust Category]],ASHRAE_EA_Table[#All],2,FALSE))</f>
        <v>NA</v>
      </c>
      <c r="AH8" s="95" t="str">
        <f>IF(Ahu_Ashrae_Generic[[#This Row],[Exhaust Category]]="NOT APPLICABLE","NA",VLOOKUP(Ahu_Ashrae_Generic[[#This Row],[Exhaust Category]],ASHRAE_EA_Table[#All],3,FALSE))</f>
        <v>NA</v>
      </c>
      <c r="AI8" s="94">
        <f>Ahu_Ashrae_Generic[[#This Row],[Misc Exhaust From Room]]+(IFERROR(IF(Ahu_Ashrae_Generic[[#This Row],[EA RATE
(CFM/UNIT)]] = "NA",Ahu_Ashrae_Generic[[#This Row],[EA RATE
(CFM/FT²)]]*Ahu_Ashrae_Generic[[#This Row],[AREA (FT²)]],Ahu_Ashrae_Generic[[#This Row],[EA RATE
(CFM/UNIT)]]*Ahu_Ashrae_Generic[[#This Row],[Exhaust Units]]),0))</f>
        <v>0</v>
      </c>
      <c r="AJ8"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8" s="95" cm="1">
        <f t="array" aca="1" ref="AK8"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8" s="139">
        <f ca="1">Ahu_Ashrae_Generic[[#This Row],[Calculated VAV Max CFM]]</f>
        <v>550</v>
      </c>
      <c r="AM8" s="92" cm="1">
        <f t="array" aca="1" ref="AM8" ca="1">Returnair(Ahu_Ashrae_Generic[[#This Row],[Calculated VAV Max CFM]],Ahu_Ashrae_Generic[[#This Row],[Desired Room Balance]],Ahu_Ashrae_Generic[[#This Row],[Exhausted?]],Ahu_Ashrae_Generic[[#This Row],[Misc Exhaust From Room]])</f>
        <v>550</v>
      </c>
      <c r="AN8" s="92" cm="1">
        <f t="array" aca="1" ref="AN8" ca="1">Exhaustair(Ahu_Ashrae_Generic[[#This Row],[DESIGN VAV MAX SA(CFM)]],Ahu_Ashrae_Generic[[#This Row],[Exhausted?]],Ahu_Ashrae_Generic[[#This Row],[MIN ASHRAE EA
(CFM)]],Ahu_Ashrae_Generic[[#This Row],[Desired Room Balance]],Ahu_Ashrae_Generic[[#This Row],[Misc Exhaust From Room]])</f>
        <v>0</v>
      </c>
      <c r="AO8" s="69">
        <f ca="1">Ahu_Ashrae_Generic[[#This Row],[OUTSIDE AIRFLOW (CFM) (Vot)]]/Ahu_Ashrae_Generic[[#This Row],[DESIGN VAV MAX SA(CFM)]]</f>
        <v>0.10800118264885183</v>
      </c>
    </row>
    <row r="9" spans="1:41" ht="15.6">
      <c r="A9" s="92" t="s">
        <v>99</v>
      </c>
      <c r="B9" s="92"/>
      <c r="C9" s="92">
        <v>102</v>
      </c>
      <c r="D9" s="92" t="s">
        <v>735</v>
      </c>
      <c r="E9" s="92">
        <v>550</v>
      </c>
      <c r="F9" s="92">
        <v>0</v>
      </c>
      <c r="G9" s="92">
        <v>4</v>
      </c>
      <c r="H9" s="111">
        <f>IF((VLOOKUP(Ahu_Ashrae_Generic[[#This Row],[Occupancy Category]],Ashrae90.1Vent[#All],7,FALSE)) = "YES",MROUND(E9/2,5),MROUND(E9,5))</f>
        <v>550</v>
      </c>
      <c r="I9" s="92"/>
      <c r="J9" s="92">
        <v>300</v>
      </c>
      <c r="K9" s="92" t="s">
        <v>45</v>
      </c>
      <c r="L9" s="92" t="s">
        <v>376</v>
      </c>
      <c r="M9" s="94">
        <f>VLOOKUP(Ahu_Ashrae_Generic[[#This Row],[Occupancy Category]],Ashrae90.1Vent[#All],2,FALSE)</f>
        <v>5</v>
      </c>
      <c r="N9" s="94">
        <f>VLOOKUP(Ahu_Ashrae_Generic[[#This Row],[Occupancy Category]],Ashrae90.1Vent[#All],3,FALSE)</f>
        <v>0.06</v>
      </c>
      <c r="O9" s="94">
        <f>VLOOKUP(Ahu_Ashrae_Generic[[#This Row],[Occupancy Category]],Ashrae90.1Vent[#All],4,FALSE)</f>
        <v>5</v>
      </c>
      <c r="P9" s="300">
        <f>Ahu_Ashrae_Generic[[#This Row],[Occupants (Pz)]]*Ahu_Ashrae_Generic[[#This Row],[RP
(CFM/PER PERSON)]]</f>
        <v>15</v>
      </c>
      <c r="Q9" s="94">
        <f>Ahu_Ashrae_Generic[[#This Row],[RA
(CFM/FT²)]]*Ahu_Ashrae_Generic[[#This Row],[AREA (FT²)]]</f>
        <v>33</v>
      </c>
      <c r="R9" s="94">
        <f>VLOOKUP(Ahu_Ashrae_Generic[[#This Row],[Occupancy Category]],Ashrae90.1Vent[#All],5,FALSE)</f>
        <v>1</v>
      </c>
      <c r="S9" s="94">
        <f t="shared" si="0"/>
        <v>3</v>
      </c>
      <c r="T9" s="96">
        <f>IF(($S$1/Ahu_Ashrae_Generic[[#Totals],[Occupants (Pz)]])&gt;1,1,$S$1/Ahu_Ashrae_Generic[[#Totals],[Occupants (Pz)]])</f>
        <v>0.53475935828877008</v>
      </c>
      <c r="U9" s="95">
        <f>(Ahu_Ashrae_Generic[[#This Row],[DIVERSITY (D)]]*Ahu_Ashrae_Generic[[#This Row],[RP
(CFM/PER PERSON)]]*Ahu_Ashrae_Generic[[#This Row],[Occupants (Pz)]])+(Ahu_Ashrae_Generic[[#This Row],[RA
(CFM/FT²)]]*Ahu_Ashrae_Generic[[#This Row],[AREA (FT²)]])</f>
        <v>41.021390374331553</v>
      </c>
      <c r="V9" s="96">
        <f>IF(Ahu_Ashrae_Generic[[#This Row],[DIVERSITY (D)]]&lt;0.6,(0.88*Ahu_Ashrae_Generic[[#This Row],[DIVERSITY (D)]]+0.22),0.75)</f>
        <v>0.69058823529411772</v>
      </c>
      <c r="W9" s="95">
        <f>Ahu_Ashrae_Generic[[#This Row],[Uncorrected OA (Vou)]]/Ahu_Ashrae_Generic[[#This Row],[System Efficiency (Ev)]]</f>
        <v>59.400650456868512</v>
      </c>
      <c r="X9" s="95">
        <f>(Ahu_Ashrae_Generic[[#This Row],[RP
(CFM/PER PERSON)]]*Ahu_Ashrae_Generic[[#This Row],[Occupants (Pz)]])+(Ahu_Ashrae_Generic[[#This Row],[RA
(CFM/FT²)]]*Ahu_Ashrae_Generic[[#This Row],[AREA (FT²)]])</f>
        <v>48</v>
      </c>
      <c r="Y9" s="92">
        <v>0.8</v>
      </c>
      <c r="Z9" s="95">
        <f>Ahu_Ashrae_Generic[[#This Row],[Breathing Zone OA (Vbz)]]/Ahu_Ashrae_Generic[[#This Row],[Zone Efficiency (Ez)]]</f>
        <v>60</v>
      </c>
      <c r="AA9" s="286" t="s">
        <v>46</v>
      </c>
      <c r="AB9" s="300" t="str" cm="1">
        <f t="array" aca="1" ref="AB9" ca="1">corequirement(Ahu_Ashrae_Generic[[#This Row],[AREA (FT²)]],Ahu_Ashrae_Generic[[#This Row],[EXHAUST RECOVERY]],INPUT_OUTPUTS!$C$6,Ahu_Ashrae_Generic[[#This Row],[Occupant Component]])</f>
        <v>NO</v>
      </c>
      <c r="AC9" s="95" t="str">
        <f>VLOOKUP(Ahu_Ashrae_Generic[[#This Row],[Occupancy Category]],Ashrae90.1Vent[#All],6,FALSE)</f>
        <v>YES</v>
      </c>
      <c r="AD9" s="95">
        <f ca="1">IF(Ahu_Ashrae_Generic[[#This Row],[CO2 SENSOR]]="YES",IF(Ahu_Ashrae_Generic[[#This Row],[OS]]="NO",Ahu_Ashrae_Generic[[#This Row],[Area Component]],0),IF(Ahu_Ashrae_Generic[[#This Row],[OS]]="YES",Ahu_Ashrae_Generic[[#This Row],[Occupant Component]],Ahu_Ashrae_Generic[[#This Row],[OUTSIDE AIRFLOW (CFM) (Vot)]]))</f>
        <v>15</v>
      </c>
      <c r="AE9" s="139">
        <v>0</v>
      </c>
      <c r="AF9" s="95" t="str">
        <f>IF(Ahu_Ashrae_Generic[[#This Row],[Exhaust Category]] = "NOT APPLICABLE","NR","YES")</f>
        <v>NR</v>
      </c>
      <c r="AG9" s="95" t="str">
        <f>IF(Ahu_Ashrae_Generic[[#This Row],[Exhaust Category]]="NOT APPLICABLE","NA",VLOOKUP(Ahu_Ashrae_Generic[[#This Row],[Exhaust Category]],ASHRAE_EA_Table[#All],2,FALSE))</f>
        <v>NA</v>
      </c>
      <c r="AH9" s="95" t="str">
        <f>IF(Ahu_Ashrae_Generic[[#This Row],[Exhaust Category]]="NOT APPLICABLE","NA",VLOOKUP(Ahu_Ashrae_Generic[[#This Row],[Exhaust Category]],ASHRAE_EA_Table[#All],3,FALSE))</f>
        <v>NA</v>
      </c>
      <c r="AI9" s="94">
        <f>Ahu_Ashrae_Generic[[#This Row],[Misc Exhaust From Room]]+(IFERROR(IF(Ahu_Ashrae_Generic[[#This Row],[EA RATE
(CFM/UNIT)]] = "NA",Ahu_Ashrae_Generic[[#This Row],[EA RATE
(CFM/FT²)]]*Ahu_Ashrae_Generic[[#This Row],[AREA (FT²)]],Ahu_Ashrae_Generic[[#This Row],[EA RATE
(CFM/UNIT)]]*Ahu_Ashrae_Generic[[#This Row],[Exhaust Units]]),0))</f>
        <v>0</v>
      </c>
      <c r="AJ9"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9" s="95" cm="1">
        <f t="array" aca="1" ref="AK9"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9" s="139">
        <f ca="1">Ahu_Ashrae_Generic[[#This Row],[Calculated VAV Max CFM]]</f>
        <v>550</v>
      </c>
      <c r="AM9" s="92" cm="1">
        <f t="array" aca="1" ref="AM9" ca="1">Returnair(Ahu_Ashrae_Generic[[#This Row],[Calculated VAV Max CFM]],Ahu_Ashrae_Generic[[#This Row],[Desired Room Balance]],Ahu_Ashrae_Generic[[#This Row],[Exhausted?]],Ahu_Ashrae_Generic[[#This Row],[Misc Exhaust From Room]])</f>
        <v>550</v>
      </c>
      <c r="AN9" s="92" cm="1">
        <f t="array" aca="1" ref="AN9" ca="1">Exhaustair(Ahu_Ashrae_Generic[[#This Row],[DESIGN VAV MAX SA(CFM)]],Ahu_Ashrae_Generic[[#This Row],[Exhausted?]],Ahu_Ashrae_Generic[[#This Row],[MIN ASHRAE EA
(CFM)]],Ahu_Ashrae_Generic[[#This Row],[Desired Room Balance]],Ahu_Ashrae_Generic[[#This Row],[Misc Exhaust From Room]])</f>
        <v>0</v>
      </c>
      <c r="AO9" s="69">
        <f ca="1">Ahu_Ashrae_Generic[[#This Row],[OUTSIDE AIRFLOW (CFM) (Vot)]]/Ahu_Ashrae_Generic[[#This Row],[DESIGN VAV MAX SA(CFM)]]</f>
        <v>0.10800118264885183</v>
      </c>
    </row>
    <row r="10" spans="1:41" ht="15.6">
      <c r="A10" s="92" t="s">
        <v>99</v>
      </c>
      <c r="B10" s="92"/>
      <c r="C10" s="92">
        <v>102</v>
      </c>
      <c r="D10" s="92" t="s">
        <v>735</v>
      </c>
      <c r="E10" s="92">
        <v>550</v>
      </c>
      <c r="F10" s="92">
        <v>0</v>
      </c>
      <c r="G10" s="92">
        <v>4</v>
      </c>
      <c r="H10" s="111">
        <f>IF((VLOOKUP(Ahu_Ashrae_Generic[[#This Row],[Occupancy Category]],Ashrae90.1Vent[#All],7,FALSE)) = "YES",MROUND(E10/2,5),MROUND(E10,5))</f>
        <v>550</v>
      </c>
      <c r="I10" s="92"/>
      <c r="J10" s="92">
        <v>300</v>
      </c>
      <c r="K10" s="92" t="s">
        <v>45</v>
      </c>
      <c r="L10" s="92" t="s">
        <v>376</v>
      </c>
      <c r="M10" s="94">
        <f>VLOOKUP(Ahu_Ashrae_Generic[[#This Row],[Occupancy Category]],Ashrae90.1Vent[#All],2,FALSE)</f>
        <v>5</v>
      </c>
      <c r="N10" s="94">
        <f>VLOOKUP(Ahu_Ashrae_Generic[[#This Row],[Occupancy Category]],Ashrae90.1Vent[#All],3,FALSE)</f>
        <v>0.06</v>
      </c>
      <c r="O10" s="94">
        <f>VLOOKUP(Ahu_Ashrae_Generic[[#This Row],[Occupancy Category]],Ashrae90.1Vent[#All],4,FALSE)</f>
        <v>5</v>
      </c>
      <c r="P10" s="300">
        <f>Ahu_Ashrae_Generic[[#This Row],[Occupants (Pz)]]*Ahu_Ashrae_Generic[[#This Row],[RP
(CFM/PER PERSON)]]</f>
        <v>15</v>
      </c>
      <c r="Q10" s="94">
        <f>Ahu_Ashrae_Generic[[#This Row],[RA
(CFM/FT²)]]*Ahu_Ashrae_Generic[[#This Row],[AREA (FT²)]]</f>
        <v>33</v>
      </c>
      <c r="R10" s="94">
        <f>VLOOKUP(Ahu_Ashrae_Generic[[#This Row],[Occupancy Category]],Ashrae90.1Vent[#All],5,FALSE)</f>
        <v>1</v>
      </c>
      <c r="S10" s="94">
        <f t="shared" si="0"/>
        <v>3</v>
      </c>
      <c r="T10" s="96">
        <f>IF(($S$1/Ahu_Ashrae_Generic[[#Totals],[Occupants (Pz)]])&gt;1,1,$S$1/Ahu_Ashrae_Generic[[#Totals],[Occupants (Pz)]])</f>
        <v>0.53475935828877008</v>
      </c>
      <c r="U10" s="95">
        <f>(Ahu_Ashrae_Generic[[#This Row],[DIVERSITY (D)]]*Ahu_Ashrae_Generic[[#This Row],[RP
(CFM/PER PERSON)]]*Ahu_Ashrae_Generic[[#This Row],[Occupants (Pz)]])+(Ahu_Ashrae_Generic[[#This Row],[RA
(CFM/FT²)]]*Ahu_Ashrae_Generic[[#This Row],[AREA (FT²)]])</f>
        <v>41.021390374331553</v>
      </c>
      <c r="V10" s="96">
        <f>IF(Ahu_Ashrae_Generic[[#This Row],[DIVERSITY (D)]]&lt;0.6,(0.88*Ahu_Ashrae_Generic[[#This Row],[DIVERSITY (D)]]+0.22),0.75)</f>
        <v>0.69058823529411772</v>
      </c>
      <c r="W10" s="95">
        <f>Ahu_Ashrae_Generic[[#This Row],[Uncorrected OA (Vou)]]/Ahu_Ashrae_Generic[[#This Row],[System Efficiency (Ev)]]</f>
        <v>59.400650456868512</v>
      </c>
      <c r="X10" s="95">
        <f>(Ahu_Ashrae_Generic[[#This Row],[RP
(CFM/PER PERSON)]]*Ahu_Ashrae_Generic[[#This Row],[Occupants (Pz)]])+(Ahu_Ashrae_Generic[[#This Row],[RA
(CFM/FT²)]]*Ahu_Ashrae_Generic[[#This Row],[AREA (FT²)]])</f>
        <v>48</v>
      </c>
      <c r="Y10" s="92">
        <v>0.8</v>
      </c>
      <c r="Z10" s="95">
        <f>Ahu_Ashrae_Generic[[#This Row],[Breathing Zone OA (Vbz)]]/Ahu_Ashrae_Generic[[#This Row],[Zone Efficiency (Ez)]]</f>
        <v>60</v>
      </c>
      <c r="AA10" s="286" t="s">
        <v>46</v>
      </c>
      <c r="AB10" s="300" t="str" cm="1">
        <f t="array" aca="1" ref="AB10" ca="1">corequirement(Ahu_Ashrae_Generic[[#This Row],[AREA (FT²)]],Ahu_Ashrae_Generic[[#This Row],[EXHAUST RECOVERY]],INPUT_OUTPUTS!$C$6,Ahu_Ashrae_Generic[[#This Row],[Occupant Component]])</f>
        <v>NO</v>
      </c>
      <c r="AC10" s="95" t="str">
        <f>VLOOKUP(Ahu_Ashrae_Generic[[#This Row],[Occupancy Category]],Ashrae90.1Vent[#All],6,FALSE)</f>
        <v>YES</v>
      </c>
      <c r="AD10" s="95">
        <f ca="1">IF(Ahu_Ashrae_Generic[[#This Row],[CO2 SENSOR]]="YES",IF(Ahu_Ashrae_Generic[[#This Row],[OS]]="NO",Ahu_Ashrae_Generic[[#This Row],[Area Component]],0),IF(Ahu_Ashrae_Generic[[#This Row],[OS]]="YES",Ahu_Ashrae_Generic[[#This Row],[Occupant Component]],Ahu_Ashrae_Generic[[#This Row],[OUTSIDE AIRFLOW (CFM) (Vot)]]))</f>
        <v>15</v>
      </c>
      <c r="AE10" s="139">
        <v>0</v>
      </c>
      <c r="AF10" s="95" t="str">
        <f>IF(Ahu_Ashrae_Generic[[#This Row],[Exhaust Category]] = "NOT APPLICABLE","NR","YES")</f>
        <v>NR</v>
      </c>
      <c r="AG10" s="95" t="str">
        <f>IF(Ahu_Ashrae_Generic[[#This Row],[Exhaust Category]]="NOT APPLICABLE","NA",VLOOKUP(Ahu_Ashrae_Generic[[#This Row],[Exhaust Category]],ASHRAE_EA_Table[#All],2,FALSE))</f>
        <v>NA</v>
      </c>
      <c r="AH10" s="95" t="str">
        <f>IF(Ahu_Ashrae_Generic[[#This Row],[Exhaust Category]]="NOT APPLICABLE","NA",VLOOKUP(Ahu_Ashrae_Generic[[#This Row],[Exhaust Category]],ASHRAE_EA_Table[#All],3,FALSE))</f>
        <v>NA</v>
      </c>
      <c r="AI10" s="94">
        <f>Ahu_Ashrae_Generic[[#This Row],[Misc Exhaust From Room]]+(IFERROR(IF(Ahu_Ashrae_Generic[[#This Row],[EA RATE
(CFM/UNIT)]] = "NA",Ahu_Ashrae_Generic[[#This Row],[EA RATE
(CFM/FT²)]]*Ahu_Ashrae_Generic[[#This Row],[AREA (FT²)]],Ahu_Ashrae_Generic[[#This Row],[EA RATE
(CFM/UNIT)]]*Ahu_Ashrae_Generic[[#This Row],[Exhaust Units]]),0))</f>
        <v>0</v>
      </c>
      <c r="AJ10"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10" s="95" cm="1">
        <f t="array" aca="1" ref="AK10"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0" s="139">
        <f ca="1">Ahu_Ashrae_Generic[[#This Row],[Calculated VAV Max CFM]]</f>
        <v>550</v>
      </c>
      <c r="AM10" s="92" cm="1">
        <f t="array" aca="1" ref="AM10" ca="1">Returnair(Ahu_Ashrae_Generic[[#This Row],[Calculated VAV Max CFM]],Ahu_Ashrae_Generic[[#This Row],[Desired Room Balance]],Ahu_Ashrae_Generic[[#This Row],[Exhausted?]],Ahu_Ashrae_Generic[[#This Row],[Misc Exhaust From Room]])</f>
        <v>550</v>
      </c>
      <c r="AN10" s="92" cm="1">
        <f t="array" aca="1" ref="AN10" ca="1">Exhaustair(Ahu_Ashrae_Generic[[#This Row],[DESIGN VAV MAX SA(CFM)]],Ahu_Ashrae_Generic[[#This Row],[Exhausted?]],Ahu_Ashrae_Generic[[#This Row],[MIN ASHRAE EA
(CFM)]],Ahu_Ashrae_Generic[[#This Row],[Desired Room Balance]],Ahu_Ashrae_Generic[[#This Row],[Misc Exhaust From Room]])</f>
        <v>0</v>
      </c>
      <c r="AO10" s="69">
        <f ca="1">Ahu_Ashrae_Generic[[#This Row],[OUTSIDE AIRFLOW (CFM) (Vot)]]/Ahu_Ashrae_Generic[[#This Row],[DESIGN VAV MAX SA(CFM)]]</f>
        <v>0.10800118264885183</v>
      </c>
    </row>
    <row r="11" spans="1:41" ht="15.6">
      <c r="A11" s="92" t="s">
        <v>99</v>
      </c>
      <c r="B11" s="92"/>
      <c r="C11" s="92">
        <v>102</v>
      </c>
      <c r="D11" s="92" t="s">
        <v>735</v>
      </c>
      <c r="E11" s="92">
        <v>550</v>
      </c>
      <c r="F11" s="92">
        <v>0</v>
      </c>
      <c r="G11" s="92">
        <v>4</v>
      </c>
      <c r="H11" s="111">
        <f>IF((VLOOKUP(Ahu_Ashrae_Generic[[#This Row],[Occupancy Category]],Ashrae90.1Vent[#All],7,FALSE)) = "YES",MROUND(E11/2,5),MROUND(E11,5))</f>
        <v>550</v>
      </c>
      <c r="I11" s="92"/>
      <c r="J11" s="92">
        <v>300</v>
      </c>
      <c r="K11" s="92" t="s">
        <v>45</v>
      </c>
      <c r="L11" s="92" t="s">
        <v>376</v>
      </c>
      <c r="M11" s="94">
        <f>VLOOKUP(Ahu_Ashrae_Generic[[#This Row],[Occupancy Category]],Ashrae90.1Vent[#All],2,FALSE)</f>
        <v>5</v>
      </c>
      <c r="N11" s="94">
        <f>VLOOKUP(Ahu_Ashrae_Generic[[#This Row],[Occupancy Category]],Ashrae90.1Vent[#All],3,FALSE)</f>
        <v>0.06</v>
      </c>
      <c r="O11" s="94">
        <f>VLOOKUP(Ahu_Ashrae_Generic[[#This Row],[Occupancy Category]],Ashrae90.1Vent[#All],4,FALSE)</f>
        <v>5</v>
      </c>
      <c r="P11" s="300">
        <f>Ahu_Ashrae_Generic[[#This Row],[Occupants (Pz)]]*Ahu_Ashrae_Generic[[#This Row],[RP
(CFM/PER PERSON)]]</f>
        <v>15</v>
      </c>
      <c r="Q11" s="94">
        <f>Ahu_Ashrae_Generic[[#This Row],[RA
(CFM/FT²)]]*Ahu_Ashrae_Generic[[#This Row],[AREA (FT²)]]</f>
        <v>33</v>
      </c>
      <c r="R11" s="94">
        <f>VLOOKUP(Ahu_Ashrae_Generic[[#This Row],[Occupancy Category]],Ashrae90.1Vent[#All],5,FALSE)</f>
        <v>1</v>
      </c>
      <c r="S11" s="94">
        <f t="shared" si="0"/>
        <v>3</v>
      </c>
      <c r="T11" s="96">
        <f>IF(($S$1/Ahu_Ashrae_Generic[[#Totals],[Occupants (Pz)]])&gt;1,1,$S$1/Ahu_Ashrae_Generic[[#Totals],[Occupants (Pz)]])</f>
        <v>0.53475935828877008</v>
      </c>
      <c r="U11" s="95">
        <f>(Ahu_Ashrae_Generic[[#This Row],[DIVERSITY (D)]]*Ahu_Ashrae_Generic[[#This Row],[RP
(CFM/PER PERSON)]]*Ahu_Ashrae_Generic[[#This Row],[Occupants (Pz)]])+(Ahu_Ashrae_Generic[[#This Row],[RA
(CFM/FT²)]]*Ahu_Ashrae_Generic[[#This Row],[AREA (FT²)]])</f>
        <v>41.021390374331553</v>
      </c>
      <c r="V11" s="96">
        <f>IF(Ahu_Ashrae_Generic[[#This Row],[DIVERSITY (D)]]&lt;0.6,(0.88*Ahu_Ashrae_Generic[[#This Row],[DIVERSITY (D)]]+0.22),0.75)</f>
        <v>0.69058823529411772</v>
      </c>
      <c r="W11" s="95">
        <f>Ahu_Ashrae_Generic[[#This Row],[Uncorrected OA (Vou)]]/Ahu_Ashrae_Generic[[#This Row],[System Efficiency (Ev)]]</f>
        <v>59.400650456868512</v>
      </c>
      <c r="X11" s="95">
        <f>(Ahu_Ashrae_Generic[[#This Row],[RP
(CFM/PER PERSON)]]*Ahu_Ashrae_Generic[[#This Row],[Occupants (Pz)]])+(Ahu_Ashrae_Generic[[#This Row],[RA
(CFM/FT²)]]*Ahu_Ashrae_Generic[[#This Row],[AREA (FT²)]])</f>
        <v>48</v>
      </c>
      <c r="Y11" s="92">
        <v>0.8</v>
      </c>
      <c r="Z11" s="95">
        <f>Ahu_Ashrae_Generic[[#This Row],[Breathing Zone OA (Vbz)]]/Ahu_Ashrae_Generic[[#This Row],[Zone Efficiency (Ez)]]</f>
        <v>60</v>
      </c>
      <c r="AA11" s="286" t="s">
        <v>46</v>
      </c>
      <c r="AB11" s="300" t="str" cm="1">
        <f t="array" aca="1" ref="AB11" ca="1">corequirement(Ahu_Ashrae_Generic[[#This Row],[AREA (FT²)]],Ahu_Ashrae_Generic[[#This Row],[EXHAUST RECOVERY]],INPUT_OUTPUTS!$C$6,Ahu_Ashrae_Generic[[#This Row],[Occupant Component]])</f>
        <v>NO</v>
      </c>
      <c r="AC11" s="95" t="str">
        <f>VLOOKUP(Ahu_Ashrae_Generic[[#This Row],[Occupancy Category]],Ashrae90.1Vent[#All],6,FALSE)</f>
        <v>YES</v>
      </c>
      <c r="AD11" s="95">
        <f ca="1">IF(Ahu_Ashrae_Generic[[#This Row],[CO2 SENSOR]]="YES",IF(Ahu_Ashrae_Generic[[#This Row],[OS]]="NO",Ahu_Ashrae_Generic[[#This Row],[Area Component]],0),IF(Ahu_Ashrae_Generic[[#This Row],[OS]]="YES",Ahu_Ashrae_Generic[[#This Row],[Occupant Component]],Ahu_Ashrae_Generic[[#This Row],[OUTSIDE AIRFLOW (CFM) (Vot)]]))</f>
        <v>15</v>
      </c>
      <c r="AE11" s="139">
        <v>0</v>
      </c>
      <c r="AF11" s="95" t="str">
        <f>IF(Ahu_Ashrae_Generic[[#This Row],[Exhaust Category]] = "NOT APPLICABLE","NR","YES")</f>
        <v>NR</v>
      </c>
      <c r="AG11" s="95" t="str">
        <f>IF(Ahu_Ashrae_Generic[[#This Row],[Exhaust Category]]="NOT APPLICABLE","NA",VLOOKUP(Ahu_Ashrae_Generic[[#This Row],[Exhaust Category]],ASHRAE_EA_Table[#All],2,FALSE))</f>
        <v>NA</v>
      </c>
      <c r="AH11" s="95" t="str">
        <f>IF(Ahu_Ashrae_Generic[[#This Row],[Exhaust Category]]="NOT APPLICABLE","NA",VLOOKUP(Ahu_Ashrae_Generic[[#This Row],[Exhaust Category]],ASHRAE_EA_Table[#All],3,FALSE))</f>
        <v>NA</v>
      </c>
      <c r="AI11" s="94">
        <f>Ahu_Ashrae_Generic[[#This Row],[Misc Exhaust From Room]]+(IFERROR(IF(Ahu_Ashrae_Generic[[#This Row],[EA RATE
(CFM/UNIT)]] = "NA",Ahu_Ashrae_Generic[[#This Row],[EA RATE
(CFM/FT²)]]*Ahu_Ashrae_Generic[[#This Row],[AREA (FT²)]],Ahu_Ashrae_Generic[[#This Row],[EA RATE
(CFM/UNIT)]]*Ahu_Ashrae_Generic[[#This Row],[Exhaust Units]]),0))</f>
        <v>0</v>
      </c>
      <c r="AJ11"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165</v>
      </c>
      <c r="AK11" s="95" cm="1">
        <f t="array" aca="1" ref="AK11"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1" s="139">
        <f ca="1">Ahu_Ashrae_Generic[[#This Row],[Calculated VAV Max CFM]]</f>
        <v>550</v>
      </c>
      <c r="AM11" s="92" cm="1">
        <f t="array" aca="1" ref="AM11" ca="1">Returnair(Ahu_Ashrae_Generic[[#This Row],[Calculated VAV Max CFM]],Ahu_Ashrae_Generic[[#This Row],[Desired Room Balance]],Ahu_Ashrae_Generic[[#This Row],[Exhausted?]],Ahu_Ashrae_Generic[[#This Row],[Misc Exhaust From Room]])</f>
        <v>550</v>
      </c>
      <c r="AN11" s="92" cm="1">
        <f t="array" aca="1" ref="AN11" ca="1">Exhaustair(Ahu_Ashrae_Generic[[#This Row],[DESIGN VAV MAX SA(CFM)]],Ahu_Ashrae_Generic[[#This Row],[Exhausted?]],Ahu_Ashrae_Generic[[#This Row],[MIN ASHRAE EA
(CFM)]],Ahu_Ashrae_Generic[[#This Row],[Desired Room Balance]],Ahu_Ashrae_Generic[[#This Row],[Misc Exhaust From Room]])</f>
        <v>0</v>
      </c>
      <c r="AO11" s="69">
        <f ca="1">Ahu_Ashrae_Generic[[#This Row],[OUTSIDE AIRFLOW (CFM) (Vot)]]/Ahu_Ashrae_Generic[[#This Row],[DESIGN VAV MAX SA(CFM)]]</f>
        <v>0.10800118264885183</v>
      </c>
    </row>
    <row r="12" spans="1:41" ht="15.6">
      <c r="A12" s="92" t="s">
        <v>99</v>
      </c>
      <c r="B12" s="92"/>
      <c r="C12" s="92">
        <v>102</v>
      </c>
      <c r="D12" s="92" t="s">
        <v>735</v>
      </c>
      <c r="E12" s="92">
        <v>550</v>
      </c>
      <c r="F12" s="92">
        <v>0</v>
      </c>
      <c r="G12" s="92">
        <v>4</v>
      </c>
      <c r="H12" s="111">
        <f>IF((VLOOKUP(Ahu_Ashrae_Generic[[#This Row],[Occupancy Category]],Ashrae90.1Vent[#All],7,FALSE)) = "YES",MROUND(E12/2,5),MROUND(E12,5))</f>
        <v>550</v>
      </c>
      <c r="I12" s="92"/>
      <c r="J12" s="92">
        <v>300</v>
      </c>
      <c r="K12" s="92" t="s">
        <v>45</v>
      </c>
      <c r="L12" s="92" t="s">
        <v>72</v>
      </c>
      <c r="M12" s="94">
        <f>VLOOKUP(Ahu_Ashrae_Generic[[#This Row],[Occupancy Category]],Ashrae90.1Vent[#All],2,FALSE)</f>
        <v>5</v>
      </c>
      <c r="N12" s="94">
        <f>VLOOKUP(Ahu_Ashrae_Generic[[#This Row],[Occupancy Category]],Ashrae90.1Vent[#All],3,FALSE)</f>
        <v>0.06</v>
      </c>
      <c r="O12" s="94">
        <f>VLOOKUP(Ahu_Ashrae_Generic[[#This Row],[Occupancy Category]],Ashrae90.1Vent[#All],4,FALSE)</f>
        <v>50</v>
      </c>
      <c r="P12" s="300">
        <f>Ahu_Ashrae_Generic[[#This Row],[Occupants (Pz)]]*Ahu_Ashrae_Generic[[#This Row],[RP
(CFM/PER PERSON)]]</f>
        <v>140</v>
      </c>
      <c r="Q12" s="94">
        <f>Ahu_Ashrae_Generic[[#This Row],[RA
(CFM/FT²)]]*Ahu_Ashrae_Generic[[#This Row],[AREA (FT²)]]</f>
        <v>33</v>
      </c>
      <c r="R12" s="94">
        <f>VLOOKUP(Ahu_Ashrae_Generic[[#This Row],[Occupancy Category]],Ashrae90.1Vent[#All],5,FALSE)</f>
        <v>1</v>
      </c>
      <c r="S12" s="94">
        <f t="shared" si="0"/>
        <v>28</v>
      </c>
      <c r="T12" s="96">
        <f>IF(($S$1/Ahu_Ashrae_Generic[[#Totals],[Occupants (Pz)]])&gt;1,1,$S$1/Ahu_Ashrae_Generic[[#Totals],[Occupants (Pz)]])</f>
        <v>0.53475935828877008</v>
      </c>
      <c r="U12" s="95">
        <f>(Ahu_Ashrae_Generic[[#This Row],[DIVERSITY (D)]]*Ahu_Ashrae_Generic[[#This Row],[RP
(CFM/PER PERSON)]]*Ahu_Ashrae_Generic[[#This Row],[Occupants (Pz)]])+(Ahu_Ashrae_Generic[[#This Row],[RA
(CFM/FT²)]]*Ahu_Ashrae_Generic[[#This Row],[AREA (FT²)]])</f>
        <v>107.86631016042782</v>
      </c>
      <c r="V12" s="96">
        <f>IF(Ahu_Ashrae_Generic[[#This Row],[DIVERSITY (D)]]&lt;0.6,(0.88*Ahu_Ashrae_Generic[[#This Row],[DIVERSITY (D)]]+0.22),0.75)</f>
        <v>0.69058823529411772</v>
      </c>
      <c r="W12" s="95">
        <f>Ahu_Ashrae_Generic[[#This Row],[Uncorrected OA (Vou)]]/Ahu_Ashrae_Generic[[#This Row],[System Efficiency (Ev)]]</f>
        <v>156.19482731918848</v>
      </c>
      <c r="X12" s="95">
        <f>(Ahu_Ashrae_Generic[[#This Row],[RP
(CFM/PER PERSON)]]*Ahu_Ashrae_Generic[[#This Row],[Occupants (Pz)]])+(Ahu_Ashrae_Generic[[#This Row],[RA
(CFM/FT²)]]*Ahu_Ashrae_Generic[[#This Row],[AREA (FT²)]])</f>
        <v>173</v>
      </c>
      <c r="Y12" s="92">
        <v>0.8</v>
      </c>
      <c r="Z12" s="95">
        <f>Ahu_Ashrae_Generic[[#This Row],[Breathing Zone OA (Vbz)]]/Ahu_Ashrae_Generic[[#This Row],[Zone Efficiency (Ez)]]</f>
        <v>216.25</v>
      </c>
      <c r="AA12" s="286" t="s">
        <v>46</v>
      </c>
      <c r="AB12" s="300" t="str" cm="1">
        <f t="array" aca="1" ref="AB12" ca="1">corequirement(Ahu_Ashrae_Generic[[#This Row],[AREA (FT²)]],Ahu_Ashrae_Generic[[#This Row],[EXHAUST RECOVERY]],INPUT_OUTPUTS!$C$6,Ahu_Ashrae_Generic[[#This Row],[Occupant Component]])</f>
        <v>NO</v>
      </c>
      <c r="AC12" s="95" t="str">
        <f>VLOOKUP(Ahu_Ashrae_Generic[[#This Row],[Occupancy Category]],Ashrae90.1Vent[#All],6,FALSE)</f>
        <v>YES</v>
      </c>
      <c r="AD12" s="95">
        <f ca="1">IF(Ahu_Ashrae_Generic[[#This Row],[CO2 SENSOR]]="YES",IF(Ahu_Ashrae_Generic[[#This Row],[OS]]="NO",Ahu_Ashrae_Generic[[#This Row],[Area Component]],0),IF(Ahu_Ashrae_Generic[[#This Row],[OS]]="YES",Ahu_Ashrae_Generic[[#This Row],[Occupant Component]],Ahu_Ashrae_Generic[[#This Row],[OUTSIDE AIRFLOW (CFM) (Vot)]]))</f>
        <v>140</v>
      </c>
      <c r="AE12" s="139">
        <v>0</v>
      </c>
      <c r="AF12" s="95" t="str">
        <f>IF(Ahu_Ashrae_Generic[[#This Row],[Exhaust Category]] = "NOT APPLICABLE","NR","YES")</f>
        <v>NR</v>
      </c>
      <c r="AG12" s="95" t="str">
        <f>IF(Ahu_Ashrae_Generic[[#This Row],[Exhaust Category]]="NOT APPLICABLE","NA",VLOOKUP(Ahu_Ashrae_Generic[[#This Row],[Exhaust Category]],ASHRAE_EA_Table[#All],2,FALSE))</f>
        <v>NA</v>
      </c>
      <c r="AH12" s="95" t="str">
        <f>IF(Ahu_Ashrae_Generic[[#This Row],[Exhaust Category]]="NOT APPLICABLE","NA",VLOOKUP(Ahu_Ashrae_Generic[[#This Row],[Exhaust Category]],ASHRAE_EA_Table[#All],3,FALSE))</f>
        <v>NA</v>
      </c>
      <c r="AI12" s="94">
        <f>Ahu_Ashrae_Generic[[#This Row],[Misc Exhaust From Room]]+(IFERROR(IF(Ahu_Ashrae_Generic[[#This Row],[EA RATE
(CFM/UNIT)]] = "NA",Ahu_Ashrae_Generic[[#This Row],[EA RATE
(CFM/FT²)]]*Ahu_Ashrae_Generic[[#This Row],[AREA (FT²)]],Ahu_Ashrae_Generic[[#This Row],[EA RATE
(CFM/UNIT)]]*Ahu_Ashrae_Generic[[#This Row],[Exhaust Units]]),0))</f>
        <v>0</v>
      </c>
      <c r="AJ12"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2" s="95" cm="1">
        <f t="array" aca="1" ref="AK12"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2" s="139">
        <f ca="1">Ahu_Ashrae_Generic[[#This Row],[Calculated VAV Max CFM]]</f>
        <v>550</v>
      </c>
      <c r="AM12" s="92" cm="1">
        <f t="array" aca="1" ref="AM12" ca="1">Returnair(Ahu_Ashrae_Generic[[#This Row],[Calculated VAV Max CFM]],Ahu_Ashrae_Generic[[#This Row],[Desired Room Balance]],Ahu_Ashrae_Generic[[#This Row],[Exhausted?]],Ahu_Ashrae_Generic[[#This Row],[Misc Exhaust From Room]])</f>
        <v>550</v>
      </c>
      <c r="AN12" s="92" cm="1">
        <f t="array" aca="1" ref="AN12" ca="1">Exhaustair(Ahu_Ashrae_Generic[[#This Row],[DESIGN VAV MAX SA(CFM)]],Ahu_Ashrae_Generic[[#This Row],[Exhausted?]],Ahu_Ashrae_Generic[[#This Row],[MIN ASHRAE EA
(CFM)]],Ahu_Ashrae_Generic[[#This Row],[Desired Room Balance]],Ahu_Ashrae_Generic[[#This Row],[Misc Exhaust From Room]])</f>
        <v>0</v>
      </c>
      <c r="AO12" s="69">
        <f ca="1">Ahu_Ashrae_Generic[[#This Row],[OUTSIDE AIRFLOW (CFM) (Vot)]]/Ahu_Ashrae_Generic[[#This Row],[DESIGN VAV MAX SA(CFM)]]</f>
        <v>0.28399059512579722</v>
      </c>
    </row>
    <row r="13" spans="1:41" ht="15.6">
      <c r="A13" s="92" t="s">
        <v>99</v>
      </c>
      <c r="B13" s="92"/>
      <c r="C13" s="92">
        <v>102</v>
      </c>
      <c r="D13" s="92" t="s">
        <v>735</v>
      </c>
      <c r="E13" s="92">
        <v>550</v>
      </c>
      <c r="F13" s="92">
        <v>0</v>
      </c>
      <c r="G13" s="92">
        <v>4</v>
      </c>
      <c r="H13" s="111">
        <f>IF((VLOOKUP(Ahu_Ashrae_Generic[[#This Row],[Occupancy Category]],Ashrae90.1Vent[#All],7,FALSE)) = "YES",MROUND(E13/2,5),MROUND(E13,5))</f>
        <v>550</v>
      </c>
      <c r="I13" s="92"/>
      <c r="J13" s="92">
        <v>300</v>
      </c>
      <c r="K13" s="92" t="s">
        <v>45</v>
      </c>
      <c r="L13" s="92" t="s">
        <v>72</v>
      </c>
      <c r="M13" s="94">
        <f>VLOOKUP(Ahu_Ashrae_Generic[[#This Row],[Occupancy Category]],Ashrae90.1Vent[#All],2,FALSE)</f>
        <v>5</v>
      </c>
      <c r="N13" s="94">
        <f>VLOOKUP(Ahu_Ashrae_Generic[[#This Row],[Occupancy Category]],Ashrae90.1Vent[#All],3,FALSE)</f>
        <v>0.06</v>
      </c>
      <c r="O13" s="94">
        <f>VLOOKUP(Ahu_Ashrae_Generic[[#This Row],[Occupancy Category]],Ashrae90.1Vent[#All],4,FALSE)</f>
        <v>50</v>
      </c>
      <c r="P13" s="300">
        <f>Ahu_Ashrae_Generic[[#This Row],[Occupants (Pz)]]*Ahu_Ashrae_Generic[[#This Row],[RP
(CFM/PER PERSON)]]</f>
        <v>140</v>
      </c>
      <c r="Q13" s="94">
        <f>Ahu_Ashrae_Generic[[#This Row],[RA
(CFM/FT²)]]*Ahu_Ashrae_Generic[[#This Row],[AREA (FT²)]]</f>
        <v>33</v>
      </c>
      <c r="R13" s="94">
        <f>VLOOKUP(Ahu_Ashrae_Generic[[#This Row],[Occupancy Category]],Ashrae90.1Vent[#All],5,FALSE)</f>
        <v>1</v>
      </c>
      <c r="S13" s="94">
        <f t="shared" si="0"/>
        <v>28</v>
      </c>
      <c r="T13" s="96">
        <f>IF(($S$1/Ahu_Ashrae_Generic[[#Totals],[Occupants (Pz)]])&gt;1,1,$S$1/Ahu_Ashrae_Generic[[#Totals],[Occupants (Pz)]])</f>
        <v>0.53475935828877008</v>
      </c>
      <c r="U13" s="95">
        <f>(Ahu_Ashrae_Generic[[#This Row],[DIVERSITY (D)]]*Ahu_Ashrae_Generic[[#This Row],[RP
(CFM/PER PERSON)]]*Ahu_Ashrae_Generic[[#This Row],[Occupants (Pz)]])+(Ahu_Ashrae_Generic[[#This Row],[RA
(CFM/FT²)]]*Ahu_Ashrae_Generic[[#This Row],[AREA (FT²)]])</f>
        <v>107.86631016042782</v>
      </c>
      <c r="V13" s="96">
        <f>IF(Ahu_Ashrae_Generic[[#This Row],[DIVERSITY (D)]]&lt;0.6,(0.88*Ahu_Ashrae_Generic[[#This Row],[DIVERSITY (D)]]+0.22),0.75)</f>
        <v>0.69058823529411772</v>
      </c>
      <c r="W13" s="95">
        <f>Ahu_Ashrae_Generic[[#This Row],[Uncorrected OA (Vou)]]/Ahu_Ashrae_Generic[[#This Row],[System Efficiency (Ev)]]</f>
        <v>156.19482731918848</v>
      </c>
      <c r="X13" s="95">
        <f>(Ahu_Ashrae_Generic[[#This Row],[RP
(CFM/PER PERSON)]]*Ahu_Ashrae_Generic[[#This Row],[Occupants (Pz)]])+(Ahu_Ashrae_Generic[[#This Row],[RA
(CFM/FT²)]]*Ahu_Ashrae_Generic[[#This Row],[AREA (FT²)]])</f>
        <v>173</v>
      </c>
      <c r="Y13" s="92">
        <v>0.8</v>
      </c>
      <c r="Z13" s="95">
        <f>Ahu_Ashrae_Generic[[#This Row],[Breathing Zone OA (Vbz)]]/Ahu_Ashrae_Generic[[#This Row],[Zone Efficiency (Ez)]]</f>
        <v>216.25</v>
      </c>
      <c r="AA13" s="286" t="s">
        <v>46</v>
      </c>
      <c r="AB13" s="300" t="str" cm="1">
        <f t="array" aca="1" ref="AB13" ca="1">corequirement(Ahu_Ashrae_Generic[[#This Row],[AREA (FT²)]],Ahu_Ashrae_Generic[[#This Row],[EXHAUST RECOVERY]],INPUT_OUTPUTS!$C$6,Ahu_Ashrae_Generic[[#This Row],[Occupant Component]])</f>
        <v>NO</v>
      </c>
      <c r="AC13" s="95" t="str">
        <f>VLOOKUP(Ahu_Ashrae_Generic[[#This Row],[Occupancy Category]],Ashrae90.1Vent[#All],6,FALSE)</f>
        <v>YES</v>
      </c>
      <c r="AD13" s="95">
        <f ca="1">IF(Ahu_Ashrae_Generic[[#This Row],[CO2 SENSOR]]="YES",IF(Ahu_Ashrae_Generic[[#This Row],[OS]]="NO",Ahu_Ashrae_Generic[[#This Row],[Area Component]],0),IF(Ahu_Ashrae_Generic[[#This Row],[OS]]="YES",Ahu_Ashrae_Generic[[#This Row],[Occupant Component]],Ahu_Ashrae_Generic[[#This Row],[OUTSIDE AIRFLOW (CFM) (Vot)]]))</f>
        <v>140</v>
      </c>
      <c r="AE13" s="139">
        <v>0</v>
      </c>
      <c r="AF13" s="95" t="str">
        <f>IF(Ahu_Ashrae_Generic[[#This Row],[Exhaust Category]] = "NOT APPLICABLE","NR","YES")</f>
        <v>NR</v>
      </c>
      <c r="AG13" s="95" t="str">
        <f>IF(Ahu_Ashrae_Generic[[#This Row],[Exhaust Category]]="NOT APPLICABLE","NA",VLOOKUP(Ahu_Ashrae_Generic[[#This Row],[Exhaust Category]],ASHRAE_EA_Table[#All],2,FALSE))</f>
        <v>NA</v>
      </c>
      <c r="AH13" s="95" t="str">
        <f>IF(Ahu_Ashrae_Generic[[#This Row],[Exhaust Category]]="NOT APPLICABLE","NA",VLOOKUP(Ahu_Ashrae_Generic[[#This Row],[Exhaust Category]],ASHRAE_EA_Table[#All],3,FALSE))</f>
        <v>NA</v>
      </c>
      <c r="AI13" s="94">
        <f>Ahu_Ashrae_Generic[[#This Row],[Misc Exhaust From Room]]+(IFERROR(IF(Ahu_Ashrae_Generic[[#This Row],[EA RATE
(CFM/UNIT)]] = "NA",Ahu_Ashrae_Generic[[#This Row],[EA RATE
(CFM/FT²)]]*Ahu_Ashrae_Generic[[#This Row],[AREA (FT²)]],Ahu_Ashrae_Generic[[#This Row],[EA RATE
(CFM/UNIT)]]*Ahu_Ashrae_Generic[[#This Row],[Exhaust Units]]),0))</f>
        <v>0</v>
      </c>
      <c r="AJ13"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3" s="95" cm="1">
        <f t="array" aca="1" ref="AK13"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3" s="139">
        <f ca="1">Ahu_Ashrae_Generic[[#This Row],[Calculated VAV Max CFM]]</f>
        <v>550</v>
      </c>
      <c r="AM13" s="92" cm="1">
        <f t="array" aca="1" ref="AM13" ca="1">Returnair(Ahu_Ashrae_Generic[[#This Row],[Calculated VAV Max CFM]],Ahu_Ashrae_Generic[[#This Row],[Desired Room Balance]],Ahu_Ashrae_Generic[[#This Row],[Exhausted?]],Ahu_Ashrae_Generic[[#This Row],[Misc Exhaust From Room]])</f>
        <v>550</v>
      </c>
      <c r="AN13" s="92" cm="1">
        <f t="array" aca="1" ref="AN13" ca="1">Exhaustair(Ahu_Ashrae_Generic[[#This Row],[DESIGN VAV MAX SA(CFM)]],Ahu_Ashrae_Generic[[#This Row],[Exhausted?]],Ahu_Ashrae_Generic[[#This Row],[MIN ASHRAE EA
(CFM)]],Ahu_Ashrae_Generic[[#This Row],[Desired Room Balance]],Ahu_Ashrae_Generic[[#This Row],[Misc Exhaust From Room]])</f>
        <v>0</v>
      </c>
      <c r="AO13" s="69">
        <f ca="1">Ahu_Ashrae_Generic[[#This Row],[OUTSIDE AIRFLOW (CFM) (Vot)]]/Ahu_Ashrae_Generic[[#This Row],[DESIGN VAV MAX SA(CFM)]]</f>
        <v>0.28399059512579722</v>
      </c>
    </row>
    <row r="14" spans="1:41" ht="15.6">
      <c r="A14" s="92" t="s">
        <v>99</v>
      </c>
      <c r="B14" s="92"/>
      <c r="C14" s="92">
        <v>102</v>
      </c>
      <c r="D14" s="92" t="s">
        <v>735</v>
      </c>
      <c r="E14" s="92">
        <v>550</v>
      </c>
      <c r="F14" s="92">
        <v>0</v>
      </c>
      <c r="G14" s="92">
        <v>4</v>
      </c>
      <c r="H14" s="111">
        <f>IF((VLOOKUP(Ahu_Ashrae_Generic[[#This Row],[Occupancy Category]],Ashrae90.1Vent[#All],7,FALSE)) = "YES",MROUND(E14/2,5),MROUND(E14,5))</f>
        <v>550</v>
      </c>
      <c r="I14" s="92"/>
      <c r="J14" s="92">
        <v>300</v>
      </c>
      <c r="K14" s="92" t="s">
        <v>45</v>
      </c>
      <c r="L14" s="92" t="s">
        <v>72</v>
      </c>
      <c r="M14" s="94">
        <f>VLOOKUP(Ahu_Ashrae_Generic[[#This Row],[Occupancy Category]],Ashrae90.1Vent[#All],2,FALSE)</f>
        <v>5</v>
      </c>
      <c r="N14" s="94">
        <f>VLOOKUP(Ahu_Ashrae_Generic[[#This Row],[Occupancy Category]],Ashrae90.1Vent[#All],3,FALSE)</f>
        <v>0.06</v>
      </c>
      <c r="O14" s="94">
        <f>VLOOKUP(Ahu_Ashrae_Generic[[#This Row],[Occupancy Category]],Ashrae90.1Vent[#All],4,FALSE)</f>
        <v>50</v>
      </c>
      <c r="P14" s="300">
        <f>Ahu_Ashrae_Generic[[#This Row],[Occupants (Pz)]]*Ahu_Ashrae_Generic[[#This Row],[RP
(CFM/PER PERSON)]]</f>
        <v>140</v>
      </c>
      <c r="Q14" s="94">
        <f>Ahu_Ashrae_Generic[[#This Row],[RA
(CFM/FT²)]]*Ahu_Ashrae_Generic[[#This Row],[AREA (FT²)]]</f>
        <v>33</v>
      </c>
      <c r="R14" s="94">
        <f>VLOOKUP(Ahu_Ashrae_Generic[[#This Row],[Occupancy Category]],Ashrae90.1Vent[#All],5,FALSE)</f>
        <v>1</v>
      </c>
      <c r="S14" s="94">
        <f t="shared" si="0"/>
        <v>28</v>
      </c>
      <c r="T14" s="96">
        <f>IF(($S$1/Ahu_Ashrae_Generic[[#Totals],[Occupants (Pz)]])&gt;1,1,$S$1/Ahu_Ashrae_Generic[[#Totals],[Occupants (Pz)]])</f>
        <v>0.53475935828877008</v>
      </c>
      <c r="U14" s="95">
        <f>(Ahu_Ashrae_Generic[[#This Row],[DIVERSITY (D)]]*Ahu_Ashrae_Generic[[#This Row],[RP
(CFM/PER PERSON)]]*Ahu_Ashrae_Generic[[#This Row],[Occupants (Pz)]])+(Ahu_Ashrae_Generic[[#This Row],[RA
(CFM/FT²)]]*Ahu_Ashrae_Generic[[#This Row],[AREA (FT²)]])</f>
        <v>107.86631016042782</v>
      </c>
      <c r="V14" s="96">
        <f>IF(Ahu_Ashrae_Generic[[#This Row],[DIVERSITY (D)]]&lt;0.6,(0.88*Ahu_Ashrae_Generic[[#This Row],[DIVERSITY (D)]]+0.22),0.75)</f>
        <v>0.69058823529411772</v>
      </c>
      <c r="W14" s="95">
        <f>Ahu_Ashrae_Generic[[#This Row],[Uncorrected OA (Vou)]]/Ahu_Ashrae_Generic[[#This Row],[System Efficiency (Ev)]]</f>
        <v>156.19482731918848</v>
      </c>
      <c r="X14" s="95">
        <f>(Ahu_Ashrae_Generic[[#This Row],[RP
(CFM/PER PERSON)]]*Ahu_Ashrae_Generic[[#This Row],[Occupants (Pz)]])+(Ahu_Ashrae_Generic[[#This Row],[RA
(CFM/FT²)]]*Ahu_Ashrae_Generic[[#This Row],[AREA (FT²)]])</f>
        <v>173</v>
      </c>
      <c r="Y14" s="92">
        <v>0.8</v>
      </c>
      <c r="Z14" s="95">
        <f>Ahu_Ashrae_Generic[[#This Row],[Breathing Zone OA (Vbz)]]/Ahu_Ashrae_Generic[[#This Row],[Zone Efficiency (Ez)]]</f>
        <v>216.25</v>
      </c>
      <c r="AA14" s="286" t="s">
        <v>46</v>
      </c>
      <c r="AB14" s="300" t="str" cm="1">
        <f t="array" aca="1" ref="AB14" ca="1">corequirement(Ahu_Ashrae_Generic[[#This Row],[AREA (FT²)]],Ahu_Ashrae_Generic[[#This Row],[EXHAUST RECOVERY]],INPUT_OUTPUTS!$C$6,Ahu_Ashrae_Generic[[#This Row],[Occupant Component]])</f>
        <v>NO</v>
      </c>
      <c r="AC14" s="95" t="str">
        <f>VLOOKUP(Ahu_Ashrae_Generic[[#This Row],[Occupancy Category]],Ashrae90.1Vent[#All],6,FALSE)</f>
        <v>YES</v>
      </c>
      <c r="AD14" s="95">
        <f ca="1">IF(Ahu_Ashrae_Generic[[#This Row],[CO2 SENSOR]]="YES",IF(Ahu_Ashrae_Generic[[#This Row],[OS]]="NO",Ahu_Ashrae_Generic[[#This Row],[Area Component]],0),IF(Ahu_Ashrae_Generic[[#This Row],[OS]]="YES",Ahu_Ashrae_Generic[[#This Row],[Occupant Component]],Ahu_Ashrae_Generic[[#This Row],[OUTSIDE AIRFLOW (CFM) (Vot)]]))</f>
        <v>140</v>
      </c>
      <c r="AE14" s="139">
        <v>0</v>
      </c>
      <c r="AF14" s="95" t="str">
        <f>IF(Ahu_Ashrae_Generic[[#This Row],[Exhaust Category]] = "NOT APPLICABLE","NR","YES")</f>
        <v>NR</v>
      </c>
      <c r="AG14" s="95" t="str">
        <f>IF(Ahu_Ashrae_Generic[[#This Row],[Exhaust Category]]="NOT APPLICABLE","NA",VLOOKUP(Ahu_Ashrae_Generic[[#This Row],[Exhaust Category]],ASHRAE_EA_Table[#All],2,FALSE))</f>
        <v>NA</v>
      </c>
      <c r="AH14" s="95" t="str">
        <f>IF(Ahu_Ashrae_Generic[[#This Row],[Exhaust Category]]="NOT APPLICABLE","NA",VLOOKUP(Ahu_Ashrae_Generic[[#This Row],[Exhaust Category]],ASHRAE_EA_Table[#All],3,FALSE))</f>
        <v>NA</v>
      </c>
      <c r="AI14" s="94">
        <f>Ahu_Ashrae_Generic[[#This Row],[Misc Exhaust From Room]]+(IFERROR(IF(Ahu_Ashrae_Generic[[#This Row],[EA RATE
(CFM/UNIT)]] = "NA",Ahu_Ashrae_Generic[[#This Row],[EA RATE
(CFM/FT²)]]*Ahu_Ashrae_Generic[[#This Row],[AREA (FT²)]],Ahu_Ashrae_Generic[[#This Row],[EA RATE
(CFM/UNIT)]]*Ahu_Ashrae_Generic[[#This Row],[Exhaust Units]]),0))</f>
        <v>0</v>
      </c>
      <c r="AJ14"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4" s="95" cm="1">
        <f t="array" aca="1" ref="AK14"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4" s="139">
        <f ca="1">Ahu_Ashrae_Generic[[#This Row],[Calculated VAV Max CFM]]</f>
        <v>550</v>
      </c>
      <c r="AM14" s="92" cm="1">
        <f t="array" aca="1" ref="AM14" ca="1">Returnair(Ahu_Ashrae_Generic[[#This Row],[Calculated VAV Max CFM]],Ahu_Ashrae_Generic[[#This Row],[Desired Room Balance]],Ahu_Ashrae_Generic[[#This Row],[Exhausted?]],Ahu_Ashrae_Generic[[#This Row],[Misc Exhaust From Room]])</f>
        <v>550</v>
      </c>
      <c r="AN14" s="92" cm="1">
        <f t="array" aca="1" ref="AN14" ca="1">Exhaustair(Ahu_Ashrae_Generic[[#This Row],[DESIGN VAV MAX SA(CFM)]],Ahu_Ashrae_Generic[[#This Row],[Exhausted?]],Ahu_Ashrae_Generic[[#This Row],[MIN ASHRAE EA
(CFM)]],Ahu_Ashrae_Generic[[#This Row],[Desired Room Balance]],Ahu_Ashrae_Generic[[#This Row],[Misc Exhaust From Room]])</f>
        <v>0</v>
      </c>
      <c r="AO14" s="69">
        <f ca="1">Ahu_Ashrae_Generic[[#This Row],[OUTSIDE AIRFLOW (CFM) (Vot)]]/Ahu_Ashrae_Generic[[#This Row],[DESIGN VAV MAX SA(CFM)]]</f>
        <v>0.28399059512579722</v>
      </c>
    </row>
    <row r="15" spans="1:41" ht="15.6">
      <c r="A15" s="92" t="s">
        <v>99</v>
      </c>
      <c r="B15" s="92"/>
      <c r="C15" s="92">
        <v>102</v>
      </c>
      <c r="D15" s="92" t="s">
        <v>735</v>
      </c>
      <c r="E15" s="92">
        <v>550</v>
      </c>
      <c r="F15" s="92">
        <v>0</v>
      </c>
      <c r="G15" s="92">
        <v>4</v>
      </c>
      <c r="H15" s="111">
        <f>IF((VLOOKUP(Ahu_Ashrae_Generic[[#This Row],[Occupancy Category]],Ashrae90.1Vent[#All],7,FALSE)) = "YES",MROUND(E15/2,5),MROUND(E15,5))</f>
        <v>550</v>
      </c>
      <c r="I15" s="92"/>
      <c r="J15" s="92">
        <v>300</v>
      </c>
      <c r="K15" s="92" t="s">
        <v>45</v>
      </c>
      <c r="L15" s="92" t="s">
        <v>72</v>
      </c>
      <c r="M15" s="94">
        <f>VLOOKUP(Ahu_Ashrae_Generic[[#This Row],[Occupancy Category]],Ashrae90.1Vent[#All],2,FALSE)</f>
        <v>5</v>
      </c>
      <c r="N15" s="94">
        <f>VLOOKUP(Ahu_Ashrae_Generic[[#This Row],[Occupancy Category]],Ashrae90.1Vent[#All],3,FALSE)</f>
        <v>0.06</v>
      </c>
      <c r="O15" s="94">
        <f>VLOOKUP(Ahu_Ashrae_Generic[[#This Row],[Occupancy Category]],Ashrae90.1Vent[#All],4,FALSE)</f>
        <v>50</v>
      </c>
      <c r="P15" s="300">
        <f>Ahu_Ashrae_Generic[[#This Row],[Occupants (Pz)]]*Ahu_Ashrae_Generic[[#This Row],[RP
(CFM/PER PERSON)]]</f>
        <v>140</v>
      </c>
      <c r="Q15" s="94">
        <f>Ahu_Ashrae_Generic[[#This Row],[RA
(CFM/FT²)]]*Ahu_Ashrae_Generic[[#This Row],[AREA (FT²)]]</f>
        <v>33</v>
      </c>
      <c r="R15" s="94">
        <f>VLOOKUP(Ahu_Ashrae_Generic[[#This Row],[Occupancy Category]],Ashrae90.1Vent[#All],5,FALSE)</f>
        <v>1</v>
      </c>
      <c r="S15" s="94">
        <f t="shared" si="0"/>
        <v>28</v>
      </c>
      <c r="T15" s="96">
        <f>IF(($S$1/Ahu_Ashrae_Generic[[#Totals],[Occupants (Pz)]])&gt;1,1,$S$1/Ahu_Ashrae_Generic[[#Totals],[Occupants (Pz)]])</f>
        <v>0.53475935828877008</v>
      </c>
      <c r="U15" s="95">
        <f>(Ahu_Ashrae_Generic[[#This Row],[DIVERSITY (D)]]*Ahu_Ashrae_Generic[[#This Row],[RP
(CFM/PER PERSON)]]*Ahu_Ashrae_Generic[[#This Row],[Occupants (Pz)]])+(Ahu_Ashrae_Generic[[#This Row],[RA
(CFM/FT²)]]*Ahu_Ashrae_Generic[[#This Row],[AREA (FT²)]])</f>
        <v>107.86631016042782</v>
      </c>
      <c r="V15" s="96">
        <f>IF(Ahu_Ashrae_Generic[[#This Row],[DIVERSITY (D)]]&lt;0.6,(0.88*Ahu_Ashrae_Generic[[#This Row],[DIVERSITY (D)]]+0.22),0.75)</f>
        <v>0.69058823529411772</v>
      </c>
      <c r="W15" s="95">
        <f>Ahu_Ashrae_Generic[[#This Row],[Uncorrected OA (Vou)]]/Ahu_Ashrae_Generic[[#This Row],[System Efficiency (Ev)]]</f>
        <v>156.19482731918848</v>
      </c>
      <c r="X15" s="95">
        <f>(Ahu_Ashrae_Generic[[#This Row],[RP
(CFM/PER PERSON)]]*Ahu_Ashrae_Generic[[#This Row],[Occupants (Pz)]])+(Ahu_Ashrae_Generic[[#This Row],[RA
(CFM/FT²)]]*Ahu_Ashrae_Generic[[#This Row],[AREA (FT²)]])</f>
        <v>173</v>
      </c>
      <c r="Y15" s="92">
        <v>0.8</v>
      </c>
      <c r="Z15" s="95">
        <f>Ahu_Ashrae_Generic[[#This Row],[Breathing Zone OA (Vbz)]]/Ahu_Ashrae_Generic[[#This Row],[Zone Efficiency (Ez)]]</f>
        <v>216.25</v>
      </c>
      <c r="AA15" s="286" t="s">
        <v>46</v>
      </c>
      <c r="AB15" s="300" t="str" cm="1">
        <f t="array" aca="1" ref="AB15" ca="1">corequirement(Ahu_Ashrae_Generic[[#This Row],[AREA (FT²)]],Ahu_Ashrae_Generic[[#This Row],[EXHAUST RECOVERY]],INPUT_OUTPUTS!$C$6,Ahu_Ashrae_Generic[[#This Row],[Occupant Component]])</f>
        <v>NO</v>
      </c>
      <c r="AC15" s="95" t="str">
        <f>VLOOKUP(Ahu_Ashrae_Generic[[#This Row],[Occupancy Category]],Ashrae90.1Vent[#All],6,FALSE)</f>
        <v>YES</v>
      </c>
      <c r="AD15" s="95">
        <f ca="1">IF(Ahu_Ashrae_Generic[[#This Row],[CO2 SENSOR]]="YES",IF(Ahu_Ashrae_Generic[[#This Row],[OS]]="NO",Ahu_Ashrae_Generic[[#This Row],[Area Component]],0),IF(Ahu_Ashrae_Generic[[#This Row],[OS]]="YES",Ahu_Ashrae_Generic[[#This Row],[Occupant Component]],Ahu_Ashrae_Generic[[#This Row],[OUTSIDE AIRFLOW (CFM) (Vot)]]))</f>
        <v>140</v>
      </c>
      <c r="AE15" s="139">
        <v>0</v>
      </c>
      <c r="AF15" s="95" t="str">
        <f>IF(Ahu_Ashrae_Generic[[#This Row],[Exhaust Category]] = "NOT APPLICABLE","NR","YES")</f>
        <v>NR</v>
      </c>
      <c r="AG15" s="95" t="str">
        <f>IF(Ahu_Ashrae_Generic[[#This Row],[Exhaust Category]]="NOT APPLICABLE","NA",VLOOKUP(Ahu_Ashrae_Generic[[#This Row],[Exhaust Category]],ASHRAE_EA_Table[#All],2,FALSE))</f>
        <v>NA</v>
      </c>
      <c r="AH15" s="95" t="str">
        <f>IF(Ahu_Ashrae_Generic[[#This Row],[Exhaust Category]]="NOT APPLICABLE","NA",VLOOKUP(Ahu_Ashrae_Generic[[#This Row],[Exhaust Category]],ASHRAE_EA_Table[#All],3,FALSE))</f>
        <v>NA</v>
      </c>
      <c r="AI15" s="94">
        <f>Ahu_Ashrae_Generic[[#This Row],[Misc Exhaust From Room]]+(IFERROR(IF(Ahu_Ashrae_Generic[[#This Row],[EA RATE
(CFM/UNIT)]] = "NA",Ahu_Ashrae_Generic[[#This Row],[EA RATE
(CFM/FT²)]]*Ahu_Ashrae_Generic[[#This Row],[AREA (FT²)]],Ahu_Ashrae_Generic[[#This Row],[EA RATE
(CFM/UNIT)]]*Ahu_Ashrae_Generic[[#This Row],[Exhaust Units]]),0))</f>
        <v>0</v>
      </c>
      <c r="AJ15"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5" s="95" cm="1">
        <f t="array" aca="1" ref="AK15"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5" s="139">
        <f ca="1">Ahu_Ashrae_Generic[[#This Row],[Calculated VAV Max CFM]]</f>
        <v>550</v>
      </c>
      <c r="AM15" s="92" cm="1">
        <f t="array" aca="1" ref="AM15" ca="1">Returnair(Ahu_Ashrae_Generic[[#This Row],[Calculated VAV Max CFM]],Ahu_Ashrae_Generic[[#This Row],[Desired Room Balance]],Ahu_Ashrae_Generic[[#This Row],[Exhausted?]],Ahu_Ashrae_Generic[[#This Row],[Misc Exhaust From Room]])</f>
        <v>550</v>
      </c>
      <c r="AN15" s="92" cm="1">
        <f t="array" aca="1" ref="AN15" ca="1">Exhaustair(Ahu_Ashrae_Generic[[#This Row],[DESIGN VAV MAX SA(CFM)]],Ahu_Ashrae_Generic[[#This Row],[Exhausted?]],Ahu_Ashrae_Generic[[#This Row],[MIN ASHRAE EA
(CFM)]],Ahu_Ashrae_Generic[[#This Row],[Desired Room Balance]],Ahu_Ashrae_Generic[[#This Row],[Misc Exhaust From Room]])</f>
        <v>0</v>
      </c>
      <c r="AO15" s="69">
        <f ca="1">Ahu_Ashrae_Generic[[#This Row],[OUTSIDE AIRFLOW (CFM) (Vot)]]/Ahu_Ashrae_Generic[[#This Row],[DESIGN VAV MAX SA(CFM)]]</f>
        <v>0.28399059512579722</v>
      </c>
    </row>
    <row r="16" spans="1:41" ht="15.6">
      <c r="A16" s="92" t="s">
        <v>99</v>
      </c>
      <c r="B16" s="92"/>
      <c r="C16" s="92">
        <v>102</v>
      </c>
      <c r="D16" s="92" t="s">
        <v>735</v>
      </c>
      <c r="E16" s="92">
        <v>550</v>
      </c>
      <c r="F16" s="92">
        <v>0</v>
      </c>
      <c r="G16" s="92">
        <v>4</v>
      </c>
      <c r="H16" s="111">
        <f>IF((VLOOKUP(Ahu_Ashrae_Generic[[#This Row],[Occupancy Category]],Ashrae90.1Vent[#All],7,FALSE)) = "YES",MROUND(E16/2,5),MROUND(E16,5))</f>
        <v>550</v>
      </c>
      <c r="I16" s="92"/>
      <c r="J16" s="92">
        <v>300</v>
      </c>
      <c r="K16" s="92" t="s">
        <v>45</v>
      </c>
      <c r="L16" s="92" t="s">
        <v>72</v>
      </c>
      <c r="M16" s="94">
        <f>VLOOKUP(Ahu_Ashrae_Generic[[#This Row],[Occupancy Category]],Ashrae90.1Vent[#All],2,FALSE)</f>
        <v>5</v>
      </c>
      <c r="N16" s="94">
        <f>VLOOKUP(Ahu_Ashrae_Generic[[#This Row],[Occupancy Category]],Ashrae90.1Vent[#All],3,FALSE)</f>
        <v>0.06</v>
      </c>
      <c r="O16" s="94">
        <f>VLOOKUP(Ahu_Ashrae_Generic[[#This Row],[Occupancy Category]],Ashrae90.1Vent[#All],4,FALSE)</f>
        <v>50</v>
      </c>
      <c r="P16" s="300">
        <f>Ahu_Ashrae_Generic[[#This Row],[Occupants (Pz)]]*Ahu_Ashrae_Generic[[#This Row],[RP
(CFM/PER PERSON)]]</f>
        <v>140</v>
      </c>
      <c r="Q16" s="94">
        <f>Ahu_Ashrae_Generic[[#This Row],[RA
(CFM/FT²)]]*Ahu_Ashrae_Generic[[#This Row],[AREA (FT²)]]</f>
        <v>33</v>
      </c>
      <c r="R16" s="94">
        <f>VLOOKUP(Ahu_Ashrae_Generic[[#This Row],[Occupancy Category]],Ashrae90.1Vent[#All],5,FALSE)</f>
        <v>1</v>
      </c>
      <c r="S16" s="94">
        <f t="shared" si="0"/>
        <v>28</v>
      </c>
      <c r="T16" s="96">
        <f>IF(($S$1/Ahu_Ashrae_Generic[[#Totals],[Occupants (Pz)]])&gt;1,1,$S$1/Ahu_Ashrae_Generic[[#Totals],[Occupants (Pz)]])</f>
        <v>0.53475935828877008</v>
      </c>
      <c r="U16" s="95">
        <f>(Ahu_Ashrae_Generic[[#This Row],[DIVERSITY (D)]]*Ahu_Ashrae_Generic[[#This Row],[RP
(CFM/PER PERSON)]]*Ahu_Ashrae_Generic[[#This Row],[Occupants (Pz)]])+(Ahu_Ashrae_Generic[[#This Row],[RA
(CFM/FT²)]]*Ahu_Ashrae_Generic[[#This Row],[AREA (FT²)]])</f>
        <v>107.86631016042782</v>
      </c>
      <c r="V16" s="96">
        <f>IF(Ahu_Ashrae_Generic[[#This Row],[DIVERSITY (D)]]&lt;0.6,(0.88*Ahu_Ashrae_Generic[[#This Row],[DIVERSITY (D)]]+0.22),0.75)</f>
        <v>0.69058823529411772</v>
      </c>
      <c r="W16" s="95">
        <f>Ahu_Ashrae_Generic[[#This Row],[Uncorrected OA (Vou)]]/Ahu_Ashrae_Generic[[#This Row],[System Efficiency (Ev)]]</f>
        <v>156.19482731918848</v>
      </c>
      <c r="X16" s="95">
        <f>(Ahu_Ashrae_Generic[[#This Row],[RP
(CFM/PER PERSON)]]*Ahu_Ashrae_Generic[[#This Row],[Occupants (Pz)]])+(Ahu_Ashrae_Generic[[#This Row],[RA
(CFM/FT²)]]*Ahu_Ashrae_Generic[[#This Row],[AREA (FT²)]])</f>
        <v>173</v>
      </c>
      <c r="Y16" s="92">
        <v>0.8</v>
      </c>
      <c r="Z16" s="95">
        <f>Ahu_Ashrae_Generic[[#This Row],[Breathing Zone OA (Vbz)]]/Ahu_Ashrae_Generic[[#This Row],[Zone Efficiency (Ez)]]</f>
        <v>216.25</v>
      </c>
      <c r="AA16" s="286" t="s">
        <v>46</v>
      </c>
      <c r="AB16" s="300" t="str" cm="1">
        <f t="array" aca="1" ref="AB16" ca="1">corequirement(Ahu_Ashrae_Generic[[#This Row],[AREA (FT²)]],Ahu_Ashrae_Generic[[#This Row],[EXHAUST RECOVERY]],INPUT_OUTPUTS!$C$6,Ahu_Ashrae_Generic[[#This Row],[Occupant Component]])</f>
        <v>NO</v>
      </c>
      <c r="AC16" s="95" t="str">
        <f>VLOOKUP(Ahu_Ashrae_Generic[[#This Row],[Occupancy Category]],Ashrae90.1Vent[#All],6,FALSE)</f>
        <v>YES</v>
      </c>
      <c r="AD16" s="95">
        <f ca="1">IF(Ahu_Ashrae_Generic[[#This Row],[CO2 SENSOR]]="YES",IF(Ahu_Ashrae_Generic[[#This Row],[OS]]="NO",Ahu_Ashrae_Generic[[#This Row],[Area Component]],0),IF(Ahu_Ashrae_Generic[[#This Row],[OS]]="YES",Ahu_Ashrae_Generic[[#This Row],[Occupant Component]],Ahu_Ashrae_Generic[[#This Row],[OUTSIDE AIRFLOW (CFM) (Vot)]]))</f>
        <v>140</v>
      </c>
      <c r="AE16" s="139">
        <v>0</v>
      </c>
      <c r="AF16" s="95" t="str">
        <f>IF(Ahu_Ashrae_Generic[[#This Row],[Exhaust Category]] = "NOT APPLICABLE","NR","YES")</f>
        <v>NR</v>
      </c>
      <c r="AG16" s="95" t="str">
        <f>IF(Ahu_Ashrae_Generic[[#This Row],[Exhaust Category]]="NOT APPLICABLE","NA",VLOOKUP(Ahu_Ashrae_Generic[[#This Row],[Exhaust Category]],ASHRAE_EA_Table[#All],2,FALSE))</f>
        <v>NA</v>
      </c>
      <c r="AH16" s="95" t="str">
        <f>IF(Ahu_Ashrae_Generic[[#This Row],[Exhaust Category]]="NOT APPLICABLE","NA",VLOOKUP(Ahu_Ashrae_Generic[[#This Row],[Exhaust Category]],ASHRAE_EA_Table[#All],3,FALSE))</f>
        <v>NA</v>
      </c>
      <c r="AI16" s="94">
        <f>Ahu_Ashrae_Generic[[#This Row],[Misc Exhaust From Room]]+(IFERROR(IF(Ahu_Ashrae_Generic[[#This Row],[EA RATE
(CFM/UNIT)]] = "NA",Ahu_Ashrae_Generic[[#This Row],[EA RATE
(CFM/FT²)]]*Ahu_Ashrae_Generic[[#This Row],[AREA (FT²)]],Ahu_Ashrae_Generic[[#This Row],[EA RATE
(CFM/UNIT)]]*Ahu_Ashrae_Generic[[#This Row],[Exhaust Units]]),0))</f>
        <v>0</v>
      </c>
      <c r="AJ16"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6" s="95" cm="1">
        <f t="array" aca="1" ref="AK16"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6" s="139">
        <f ca="1">Ahu_Ashrae_Generic[[#This Row],[Calculated VAV Max CFM]]</f>
        <v>550</v>
      </c>
      <c r="AM16" s="92" cm="1">
        <f t="array" aca="1" ref="AM16" ca="1">Returnair(Ahu_Ashrae_Generic[[#This Row],[Calculated VAV Max CFM]],Ahu_Ashrae_Generic[[#This Row],[Desired Room Balance]],Ahu_Ashrae_Generic[[#This Row],[Exhausted?]],Ahu_Ashrae_Generic[[#This Row],[Misc Exhaust From Room]])</f>
        <v>550</v>
      </c>
      <c r="AN16" s="92" cm="1">
        <f t="array" aca="1" ref="AN16" ca="1">Exhaustair(Ahu_Ashrae_Generic[[#This Row],[DESIGN VAV MAX SA(CFM)]],Ahu_Ashrae_Generic[[#This Row],[Exhausted?]],Ahu_Ashrae_Generic[[#This Row],[MIN ASHRAE EA
(CFM)]],Ahu_Ashrae_Generic[[#This Row],[Desired Room Balance]],Ahu_Ashrae_Generic[[#This Row],[Misc Exhaust From Room]])</f>
        <v>0</v>
      </c>
      <c r="AO16" s="69">
        <f ca="1">Ahu_Ashrae_Generic[[#This Row],[OUTSIDE AIRFLOW (CFM) (Vot)]]/Ahu_Ashrae_Generic[[#This Row],[DESIGN VAV MAX SA(CFM)]]</f>
        <v>0.28399059512579722</v>
      </c>
    </row>
    <row r="17" spans="1:41" ht="15.6">
      <c r="A17" s="92" t="s">
        <v>99</v>
      </c>
      <c r="B17" s="92"/>
      <c r="C17" s="92">
        <v>102</v>
      </c>
      <c r="D17" s="92" t="s">
        <v>735</v>
      </c>
      <c r="E17" s="92">
        <v>550</v>
      </c>
      <c r="F17" s="92">
        <v>0</v>
      </c>
      <c r="G17" s="92">
        <v>4</v>
      </c>
      <c r="H17" s="111">
        <f>IF((VLOOKUP(Ahu_Ashrae_Generic[[#This Row],[Occupancy Category]],Ashrae90.1Vent[#All],7,FALSE)) = "YES",MROUND(E17/2,5),MROUND(E17,5))</f>
        <v>550</v>
      </c>
      <c r="I17" s="92"/>
      <c r="J17" s="92">
        <v>300</v>
      </c>
      <c r="K17" s="92" t="s">
        <v>45</v>
      </c>
      <c r="L17" s="92" t="s">
        <v>72</v>
      </c>
      <c r="M17" s="94">
        <f>VLOOKUP(Ahu_Ashrae_Generic[[#This Row],[Occupancy Category]],Ashrae90.1Vent[#All],2,FALSE)</f>
        <v>5</v>
      </c>
      <c r="N17" s="94">
        <f>VLOOKUP(Ahu_Ashrae_Generic[[#This Row],[Occupancy Category]],Ashrae90.1Vent[#All],3,FALSE)</f>
        <v>0.06</v>
      </c>
      <c r="O17" s="94">
        <f>VLOOKUP(Ahu_Ashrae_Generic[[#This Row],[Occupancy Category]],Ashrae90.1Vent[#All],4,FALSE)</f>
        <v>50</v>
      </c>
      <c r="P17" s="300">
        <f>Ahu_Ashrae_Generic[[#This Row],[Occupants (Pz)]]*Ahu_Ashrae_Generic[[#This Row],[RP
(CFM/PER PERSON)]]</f>
        <v>140</v>
      </c>
      <c r="Q17" s="94">
        <f>Ahu_Ashrae_Generic[[#This Row],[RA
(CFM/FT²)]]*Ahu_Ashrae_Generic[[#This Row],[AREA (FT²)]]</f>
        <v>33</v>
      </c>
      <c r="R17" s="94">
        <f>VLOOKUP(Ahu_Ashrae_Generic[[#This Row],[Occupancy Category]],Ashrae90.1Vent[#All],5,FALSE)</f>
        <v>1</v>
      </c>
      <c r="S17" s="94">
        <f t="shared" si="0"/>
        <v>28</v>
      </c>
      <c r="T17" s="96">
        <f>IF(($S$1/Ahu_Ashrae_Generic[[#Totals],[Occupants (Pz)]])&gt;1,1,$S$1/Ahu_Ashrae_Generic[[#Totals],[Occupants (Pz)]])</f>
        <v>0.53475935828877008</v>
      </c>
      <c r="U17" s="95">
        <f>(Ahu_Ashrae_Generic[[#This Row],[DIVERSITY (D)]]*Ahu_Ashrae_Generic[[#This Row],[RP
(CFM/PER PERSON)]]*Ahu_Ashrae_Generic[[#This Row],[Occupants (Pz)]])+(Ahu_Ashrae_Generic[[#This Row],[RA
(CFM/FT²)]]*Ahu_Ashrae_Generic[[#This Row],[AREA (FT²)]])</f>
        <v>107.86631016042782</v>
      </c>
      <c r="V17" s="96">
        <f>IF(Ahu_Ashrae_Generic[[#This Row],[DIVERSITY (D)]]&lt;0.6,(0.88*Ahu_Ashrae_Generic[[#This Row],[DIVERSITY (D)]]+0.22),0.75)</f>
        <v>0.69058823529411772</v>
      </c>
      <c r="W17" s="95">
        <f>Ahu_Ashrae_Generic[[#This Row],[Uncorrected OA (Vou)]]/Ahu_Ashrae_Generic[[#This Row],[System Efficiency (Ev)]]</f>
        <v>156.19482731918848</v>
      </c>
      <c r="X17" s="95">
        <f>(Ahu_Ashrae_Generic[[#This Row],[RP
(CFM/PER PERSON)]]*Ahu_Ashrae_Generic[[#This Row],[Occupants (Pz)]])+(Ahu_Ashrae_Generic[[#This Row],[RA
(CFM/FT²)]]*Ahu_Ashrae_Generic[[#This Row],[AREA (FT²)]])</f>
        <v>173</v>
      </c>
      <c r="Y17" s="92">
        <v>0.8</v>
      </c>
      <c r="Z17" s="95">
        <f>Ahu_Ashrae_Generic[[#This Row],[Breathing Zone OA (Vbz)]]/Ahu_Ashrae_Generic[[#This Row],[Zone Efficiency (Ez)]]</f>
        <v>216.25</v>
      </c>
      <c r="AA17" s="286" t="s">
        <v>46</v>
      </c>
      <c r="AB17" s="300" t="str" cm="1">
        <f t="array" aca="1" ref="AB17" ca="1">corequirement(Ahu_Ashrae_Generic[[#This Row],[AREA (FT²)]],Ahu_Ashrae_Generic[[#This Row],[EXHAUST RECOVERY]],INPUT_OUTPUTS!$C$6,Ahu_Ashrae_Generic[[#This Row],[Occupant Component]])</f>
        <v>NO</v>
      </c>
      <c r="AC17" s="95" t="str">
        <f>VLOOKUP(Ahu_Ashrae_Generic[[#This Row],[Occupancy Category]],Ashrae90.1Vent[#All],6,FALSE)</f>
        <v>YES</v>
      </c>
      <c r="AD17" s="95">
        <f ca="1">IF(Ahu_Ashrae_Generic[[#This Row],[CO2 SENSOR]]="YES",IF(Ahu_Ashrae_Generic[[#This Row],[OS]]="NO",Ahu_Ashrae_Generic[[#This Row],[Area Component]],0),IF(Ahu_Ashrae_Generic[[#This Row],[OS]]="YES",Ahu_Ashrae_Generic[[#This Row],[Occupant Component]],Ahu_Ashrae_Generic[[#This Row],[OUTSIDE AIRFLOW (CFM) (Vot)]]))</f>
        <v>140</v>
      </c>
      <c r="AE17" s="139">
        <v>0</v>
      </c>
      <c r="AF17" s="95" t="str">
        <f>IF(Ahu_Ashrae_Generic[[#This Row],[Exhaust Category]] = "NOT APPLICABLE","NR","YES")</f>
        <v>NR</v>
      </c>
      <c r="AG17" s="95" t="str">
        <f>IF(Ahu_Ashrae_Generic[[#This Row],[Exhaust Category]]="NOT APPLICABLE","NA",VLOOKUP(Ahu_Ashrae_Generic[[#This Row],[Exhaust Category]],ASHRAE_EA_Table[#All],2,FALSE))</f>
        <v>NA</v>
      </c>
      <c r="AH17" s="95" t="str">
        <f>IF(Ahu_Ashrae_Generic[[#This Row],[Exhaust Category]]="NOT APPLICABLE","NA",VLOOKUP(Ahu_Ashrae_Generic[[#This Row],[Exhaust Category]],ASHRAE_EA_Table[#All],3,FALSE))</f>
        <v>NA</v>
      </c>
      <c r="AI17" s="94">
        <f>Ahu_Ashrae_Generic[[#This Row],[Misc Exhaust From Room]]+(IFERROR(IF(Ahu_Ashrae_Generic[[#This Row],[EA RATE
(CFM/UNIT)]] = "NA",Ahu_Ashrae_Generic[[#This Row],[EA RATE
(CFM/FT²)]]*Ahu_Ashrae_Generic[[#This Row],[AREA (FT²)]],Ahu_Ashrae_Generic[[#This Row],[EA RATE
(CFM/UNIT)]]*Ahu_Ashrae_Generic[[#This Row],[Exhaust Units]]),0))</f>
        <v>0</v>
      </c>
      <c r="AJ17" s="95">
        <f ca="1">IF(Ahu_Ashrae_Generic[[#This Row],[Exhausted?]]="YES",Ahu_Ashrae_Generic[[#This Row],[Calculated VAV Max CFM]],(MROUND(IF((Ahu_Ashrae_Generic[[#This Row],[DESIGN VAV MAX SA(CFM)]]*0.3)&lt;(Ahu_Ashrae_Generic[[#This Row],[Zone OA (Voz)]]*1.5),(Ahu_Ashrae_Generic[[#This Row],[Zone OA (Voz)]]*1.5),(Ahu_Ashrae_Generic[[#This Row],[DESIGN VAV MAX SA(CFM)]]*0.3)),5)))</f>
        <v>325</v>
      </c>
      <c r="AK17" s="95" cm="1">
        <f t="array" aca="1" ref="AK17" ca="1">supplyair(Ahu_Ashrae_Generic[[#This Row],[COOLING LOAD (CFM)]],Ahu_Ashrae_Generic[[#This Row],[OFFICE STANDARD 
(CFM)]],Ahu_Ashrae_Generic[[#This Row],[OFFICE STANDARD 
(CFM)]],Ahu_Ashrae_Generic[[#This Row],[Desired Room Balance]],Ahu_Ashrae_Generic[[#This Row],[Exhausted?]],Ahu_Ashrae_Generic[[#This Row],[MIN ASHRAE EA
(CFM)]],Ahu_Ashrae_Generic[[#This Row],[Misc Exhaust From Room]],Ahu_Ashrae_Generic[[#This Row],[OUTSIDE AIRFLOW (CFM) (Vot)]])</f>
        <v>550</v>
      </c>
      <c r="AL17" s="139">
        <f ca="1">Ahu_Ashrae_Generic[[#This Row],[Calculated VAV Max CFM]]</f>
        <v>550</v>
      </c>
      <c r="AM17" s="92" cm="1">
        <f t="array" aca="1" ref="AM17" ca="1">Returnair(Ahu_Ashrae_Generic[[#This Row],[Calculated VAV Max CFM]],Ahu_Ashrae_Generic[[#This Row],[Desired Room Balance]],Ahu_Ashrae_Generic[[#This Row],[Exhausted?]],Ahu_Ashrae_Generic[[#This Row],[Misc Exhaust From Room]])</f>
        <v>550</v>
      </c>
      <c r="AN17" s="92" cm="1">
        <f t="array" aca="1" ref="AN17" ca="1">Exhaustair(Ahu_Ashrae_Generic[[#This Row],[DESIGN VAV MAX SA(CFM)]],Ahu_Ashrae_Generic[[#This Row],[Exhausted?]],Ahu_Ashrae_Generic[[#This Row],[MIN ASHRAE EA
(CFM)]],Ahu_Ashrae_Generic[[#This Row],[Desired Room Balance]],Ahu_Ashrae_Generic[[#This Row],[Misc Exhaust From Room]])</f>
        <v>0</v>
      </c>
      <c r="AO17" s="69">
        <f ca="1">Ahu_Ashrae_Generic[[#This Row],[OUTSIDE AIRFLOW (CFM) (Vot)]]/Ahu_Ashrae_Generic[[#This Row],[DESIGN VAV MAX SA(CFM)]]</f>
        <v>0.28399059512579722</v>
      </c>
    </row>
    <row r="18" spans="1:41" ht="15.6">
      <c r="A18" s="63" t="s">
        <v>104</v>
      </c>
      <c r="B18" s="63"/>
      <c r="C18" s="63"/>
      <c r="D18" s="339">
        <f>SUBTOTAL(103,Ahu_Ashrae_Generic[Room])</f>
        <v>13</v>
      </c>
      <c r="E18" s="340">
        <f>SUBTOTAL(109,Ahu_Ashrae_Generic[AREA (FT²)])</f>
        <v>6800</v>
      </c>
      <c r="F18" s="343">
        <f>SUBTOTAL(109,Ahu_Ashrae_Generic[Desired Room Balance])</f>
        <v>0</v>
      </c>
      <c r="G18" s="341"/>
      <c r="H18" s="342"/>
      <c r="I18" s="342">
        <f>SUBTOTAL(109,Ahu_Ashrae_Generic[HEATING LOAD (CFM)])</f>
        <v>0</v>
      </c>
      <c r="J18" s="343">
        <f>SUBTOTAL(109,Ahu_Ashrae_Generic[COOLING LOAD (CFM)])</f>
        <v>4050</v>
      </c>
      <c r="K18" s="63"/>
      <c r="L18" s="63"/>
      <c r="M18" s="344"/>
      <c r="N18" s="344"/>
      <c r="O18" s="344"/>
      <c r="P18" s="344"/>
      <c r="Q18" s="344"/>
      <c r="R18" s="344"/>
      <c r="S18" s="346">
        <f>SUBTOTAL(109,Ahu_Ashrae_Generic[Occupants (Pz)])</f>
        <v>187</v>
      </c>
      <c r="T18" s="346"/>
      <c r="U18" s="345">
        <f>SUBTOTAL(109,Ahu_Ashrae_Generic[Uncorrected OA (Vou)])</f>
        <v>908.00000000000011</v>
      </c>
      <c r="V18" s="344"/>
      <c r="W18" s="345">
        <f>SUBTOTAL(109,Ahu_Ashrae_Generic[OUTSIDE AIRFLOW (CFM) (Vot)])</f>
        <v>1314.8211243611584</v>
      </c>
      <c r="X18" s="345"/>
      <c r="Y18" s="345"/>
      <c r="Z18" s="345"/>
      <c r="AA18" s="345"/>
      <c r="AB18" s="345"/>
      <c r="AC18" s="345"/>
      <c r="AD18" s="345">
        <f ca="1">SUBTOTAL(109,Ahu_Ashrae_Generic[MIN OA ALLOWABLE (WITH DCV)])</f>
        <v>935</v>
      </c>
      <c r="AE18" s="345"/>
      <c r="AF18" s="345"/>
      <c r="AG18" s="344"/>
      <c r="AH18" s="344"/>
      <c r="AI18" s="344"/>
      <c r="AJ18" s="344"/>
      <c r="AK18" s="344"/>
      <c r="AL18" s="345">
        <f ca="1">SUBTOTAL(109,Ahu_Ashrae_Generic[DESIGN VAV MAX SA(CFM)])</f>
        <v>6850</v>
      </c>
      <c r="AM18" s="345">
        <f ca="1">SUBTOTAL(109,Ahu_Ashrae_Generic[DESIGN RA (CFM)])</f>
        <v>6750</v>
      </c>
      <c r="AN18" s="345">
        <f ca="1">SUBTOTAL(109,Ahu_Ashrae_Generic[DESIGN EA (CFM)])</f>
        <v>100</v>
      </c>
      <c r="AO18" s="75"/>
    </row>
  </sheetData>
  <mergeCells count="6">
    <mergeCell ref="A3:I3"/>
    <mergeCell ref="Q1:R1"/>
    <mergeCell ref="T1:U1"/>
    <mergeCell ref="AK3:AM3"/>
    <mergeCell ref="J3:AJ3"/>
    <mergeCell ref="Z1:AA1"/>
  </mergeCells>
  <phoneticPr fontId="13" type="noConversion"/>
  <conditionalFormatting sqref="AL5:AL18">
    <cfRule type="dataBar" priority="26">
      <dataBar>
        <cfvo type="min"/>
        <cfvo type="max"/>
        <color rgb="FF638EC6"/>
      </dataBar>
      <extLst>
        <ext xmlns:x14="http://schemas.microsoft.com/office/spreadsheetml/2009/9/main" uri="{B025F937-C7B1-47D3-B67F-A62EFF666E3E}">
          <x14:id>{84D9E212-E9EC-4242-BE2F-7196682BC69D}</x14:id>
        </ext>
      </extLst>
    </cfRule>
  </conditionalFormatting>
  <dataValidations disablePrompts="1" count="1">
    <dataValidation type="whole" allowBlank="1" showInputMessage="1" showErrorMessage="1" sqref="S1 AB1" xr:uid="{BE18D0D8-1B9C-4621-ABBD-BF3D27C9EA7A}">
      <formula1>-1</formula1>
      <formula2>99999</formula2>
    </dataValidation>
  </dataValidations>
  <pageMargins left="0.7" right="0.7" top="0.75" bottom="0.75" header="0.3" footer="0.3"/>
  <pageSetup scale="13" fitToHeight="0" orientation="landscape" r:id="rId1"/>
  <ignoredErrors>
    <ignoredError sqref="AI5 T5 P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69719" r:id="rId4" name="Button 87">
              <controlPr defaultSize="0" print="0" autoFill="0" autoPict="0" macro="[0]!AddRowsToTableWithUserInput" altText="HUMIDIFICATION">
                <anchor moveWithCells="1" sizeWithCells="1">
                  <from>
                    <xdr:col>0</xdr:col>
                    <xdr:colOff>982980</xdr:colOff>
                    <xdr:row>0</xdr:row>
                    <xdr:rowOff>15240</xdr:rowOff>
                  </from>
                  <to>
                    <xdr:col>1</xdr:col>
                    <xdr:colOff>868680</xdr:colOff>
                    <xdr:row>1</xdr:row>
                    <xdr:rowOff>160020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4D9E212-E9EC-4242-BE2F-7196682BC69D}">
            <x14:dataBar minLength="0" maxLength="100" border="1" negativeBarBorderColorSameAsPositive="0">
              <x14:cfvo type="autoMin"/>
              <x14:cfvo type="autoMax"/>
              <x14:borderColor rgb="FF638EC6"/>
              <x14:negativeFillColor rgb="FFFF0000"/>
              <x14:negativeBorderColor rgb="FFFF0000"/>
              <x14:axisColor rgb="FF000000"/>
            </x14:dataBar>
          </x14:cfRule>
          <xm:sqref>AL5:AL18</xm:sqref>
        </x14:conditionalFormatting>
      </x14:conditionalFormattings>
    </ext>
    <ext xmlns:x14="http://schemas.microsoft.com/office/spreadsheetml/2009/9/main" uri="{CCE6A557-97BC-4b89-ADB6-D9C93CAAB3DF}">
      <x14:dataValidations xmlns:xm="http://schemas.microsoft.com/office/excel/2006/main" disablePrompts="1" count="5">
        <x14:dataValidation type="list" allowBlank="1" showInputMessage="1" showErrorMessage="1" xr:uid="{F975D134-1567-4279-88F2-D2C74BC575D9}">
          <x14:formula1>
            <xm:f>'DO NOT TOUCH'!$B$23:$B$24</xm:f>
          </x14:formula1>
          <xm:sqref>V1</xm:sqref>
        </x14:dataValidation>
        <x14:dataValidation type="list" allowBlank="1" showInputMessage="1" showErrorMessage="1" xr:uid="{54707373-1E21-4FCF-8022-EF21D75C8B93}">
          <x14:formula1>
            <xm:f>'ASHRAE Table'!$Q$3:$Q$13</xm:f>
          </x14:formula1>
          <xm:sqref>Y5:Y17</xm:sqref>
        </x14:dataValidation>
        <x14:dataValidation type="list" allowBlank="1" showInputMessage="1" showErrorMessage="1" xr:uid="{ACABCE57-1E6D-455F-A0AA-BFF37E488AD5}">
          <x14:formula1>
            <xm:f>'ASHRAE Table'!$J$2:$J$37</xm:f>
          </x14:formula1>
          <xm:sqref>K5:K17</xm:sqref>
        </x14:dataValidation>
        <x14:dataValidation type="list" allowBlank="1" showInputMessage="1" showErrorMessage="1" xr:uid="{D97746D2-C89F-44DA-82C1-46DD8DEBA094}">
          <x14:formula1>
            <xm:f>'ASHRAE Table'!$A$2:$A$93</xm:f>
          </x14:formula1>
          <xm:sqref>L5:L17</xm:sqref>
        </x14:dataValidation>
        <x14:dataValidation type="list" allowBlank="1" showInputMessage="1" showErrorMessage="1" xr:uid="{D828EF70-F693-48D0-8216-B83D698C41BA}">
          <x14:formula1>
            <xm:f>'ASHRAE Table'!$Q$19:$Q$20</xm:f>
          </x14:formula1>
          <xm:sqref>AA5:AA17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3ACB5-BAFE-45FA-8E7C-6479585E67B0}">
  <sheetPr codeName="Sheet14"/>
  <dimension ref="A2:W17"/>
  <sheetViews>
    <sheetView showGridLines="0" showRowColHeaders="0" zoomScale="90" zoomScaleNormal="85" workbookViewId="0">
      <selection activeCell="K29" sqref="K29"/>
    </sheetView>
  </sheetViews>
  <sheetFormatPr defaultRowHeight="13.2"/>
  <cols>
    <col min="1" max="1" width="12.109375" bestFit="1" customWidth="1"/>
    <col min="2" max="2" width="26.5546875" bestFit="1" customWidth="1"/>
    <col min="3" max="3" width="33.44140625" bestFit="1" customWidth="1"/>
    <col min="4" max="4" width="15.33203125" bestFit="1" customWidth="1"/>
    <col min="5" max="5" width="16.109375" bestFit="1" customWidth="1"/>
    <col min="6" max="6" width="12.5546875" bestFit="1" customWidth="1"/>
    <col min="7" max="7" width="15.109375" bestFit="1" customWidth="1"/>
    <col min="8" max="8" width="16.44140625" bestFit="1" customWidth="1"/>
    <col min="9" max="9" width="11" bestFit="1" customWidth="1"/>
    <col min="10" max="10" width="13" bestFit="1" customWidth="1"/>
    <col min="11" max="11" width="10.44140625" bestFit="1" customWidth="1"/>
    <col min="12" max="12" width="13" bestFit="1" customWidth="1"/>
    <col min="13" max="13" width="11.109375" bestFit="1" customWidth="1"/>
    <col min="14" max="14" width="12.5546875" bestFit="1" customWidth="1"/>
    <col min="15" max="15" width="11" bestFit="1" customWidth="1"/>
    <col min="16" max="16" width="12.5546875" bestFit="1" customWidth="1"/>
    <col min="17" max="17" width="13.5546875" bestFit="1" customWidth="1"/>
    <col min="18" max="18" width="12.6640625" bestFit="1" customWidth="1"/>
    <col min="19" max="19" width="12.5546875" bestFit="1" customWidth="1"/>
    <col min="23" max="23" width="0" hidden="1" customWidth="1"/>
  </cols>
  <sheetData>
    <row r="2" spans="1:23" ht="15.6">
      <c r="C2" s="91" t="s">
        <v>1063</v>
      </c>
      <c r="D2" s="368" t="s">
        <v>46</v>
      </c>
    </row>
    <row r="3" spans="1:23">
      <c r="W3" s="11" t="s">
        <v>108</v>
      </c>
    </row>
    <row r="4" spans="1:23" ht="45">
      <c r="A4" s="99" t="s">
        <v>5</v>
      </c>
      <c r="B4" s="99" t="s">
        <v>47</v>
      </c>
      <c r="C4" s="99" t="s">
        <v>48</v>
      </c>
      <c r="D4" s="99" t="s">
        <v>94</v>
      </c>
      <c r="E4" s="99" t="s">
        <v>95</v>
      </c>
      <c r="F4" s="99" t="s">
        <v>96</v>
      </c>
      <c r="G4" s="99" t="s">
        <v>97</v>
      </c>
      <c r="H4" s="99" t="s">
        <v>98</v>
      </c>
      <c r="I4" s="99" t="s">
        <v>52</v>
      </c>
      <c r="J4" s="99" t="s">
        <v>53</v>
      </c>
      <c r="K4" s="99" t="s">
        <v>54</v>
      </c>
      <c r="L4" s="99" t="s">
        <v>55</v>
      </c>
      <c r="M4" s="99" t="s">
        <v>56</v>
      </c>
      <c r="N4" s="99" t="s">
        <v>57</v>
      </c>
      <c r="O4" s="99" t="s">
        <v>1</v>
      </c>
      <c r="P4" s="99" t="s">
        <v>1064</v>
      </c>
      <c r="Q4" s="99" t="s">
        <v>58</v>
      </c>
      <c r="R4" s="99" t="s">
        <v>59</v>
      </c>
      <c r="S4" s="99" t="s">
        <v>60</v>
      </c>
      <c r="T4" s="99" t="s">
        <v>61</v>
      </c>
      <c r="W4" s="11" t="s">
        <v>46</v>
      </c>
    </row>
    <row r="5" spans="1:23" ht="15">
      <c r="A5" s="112" t="s">
        <v>99</v>
      </c>
      <c r="B5" s="112" t="s">
        <v>63</v>
      </c>
      <c r="C5" s="112" t="s">
        <v>64</v>
      </c>
      <c r="D5" s="113">
        <f ca="1">SUMIF(Ahu_Ashrae_Generic[Zone],AHU_VAV_SCHEDULE[[#This Row],[ZONE]],Ahu_Ashrae_Generic[DESIGN VAV MIN SA(CFM)])</f>
        <v>3015</v>
      </c>
      <c r="E5" s="112">
        <f ca="1">SUMIF(Ahu_Ashrae_Generic[Zone],AHU_VAV_SCHEDULE[[#This Row],[ZONE]],Ahu_Ashrae_Generic[DESIGN VAV MAX SA(CFM)])</f>
        <v>6850</v>
      </c>
      <c r="F5" s="114">
        <f ca="1">IFERROR((VLOOKUP(AHU_VAV_SCHEDULE[[#This Row],[MAX VAV
(CFM)]],'DO NOT TOUCH'!$C$9:$D$14,2,TRUE)),"TBD")</f>
        <v>16</v>
      </c>
      <c r="G5" s="114">
        <v>0.5</v>
      </c>
      <c r="H5" s="114">
        <f ca="1">AHU_VAV_SCHEDULE[[#This Row],[MIN VAV
(CFM)]]</f>
        <v>3015</v>
      </c>
      <c r="I5" s="114">
        <f>INPUT_OUTPUTS!$C$16</f>
        <v>140</v>
      </c>
      <c r="J5" s="114">
        <f>INPUT_OUTPUTS!$C$17</f>
        <v>110</v>
      </c>
      <c r="K5" s="114">
        <v>55</v>
      </c>
      <c r="L5" s="114">
        <v>80</v>
      </c>
      <c r="M5" s="114">
        <f ca="1">MROUND((1.08*(L5-K5)*AHU_VAV_SCHEDULE[[#This Row],[HEATING AIRFLOW 
(CFM)]])/1000,0.1)</f>
        <v>81.400000000000006</v>
      </c>
      <c r="N5" s="115">
        <f t="shared" ref="N5:N16" ca="1" si="0">(M5*1000)/(500*(I5-J5))</f>
        <v>5.4266666666666667</v>
      </c>
      <c r="O5" s="115">
        <f t="shared" ref="O5:O16" ca="1" si="1">IF(N5&lt;0.5,0.5,N5)</f>
        <v>5.4266666666666667</v>
      </c>
      <c r="P5" s="369">
        <f ca="1">IF($D$2 = "YES",(_xlfn.XLOOKUP(AHU_VAV_SCHEDULE[[#This Row],[GPM]],Hydronic_Pipe_Size[SOUND SENSITIVE],Hydronic_Pipe_Size[SIZE],"Not Found",1)),(_xlfn.XLOOKUP(AHU_VAV_SCHEDULE[[#This Row],[GPM]],Hydronic_Pipe_Size[GPM],Hydronic_Pipe_Size[SIZE],"Not Found",1)))</f>
        <v>1</v>
      </c>
      <c r="Q5" s="115">
        <v>5</v>
      </c>
      <c r="R5" s="115">
        <f ca="1">IFERROR((_xlfn.XLOOKUP(F5,'DO NOT TOUCH'!$D$9:$D$14,'DO NOT TOUCH'!$E$9:$E$14,)),"TBD")</f>
        <v>60</v>
      </c>
      <c r="S5" s="115">
        <f>INPUT_OUTPUTS!$C$19</f>
        <v>0</v>
      </c>
      <c r="T5" s="114" t="s">
        <v>65</v>
      </c>
    </row>
    <row r="6" spans="1:23" ht="15">
      <c r="A6" s="112" t="s">
        <v>102</v>
      </c>
      <c r="B6" s="112" t="s">
        <v>63</v>
      </c>
      <c r="C6" s="112" t="s">
        <v>64</v>
      </c>
      <c r="D6" s="113">
        <f>SUMIF(Ahu_Ashrae_Generic[Zone],AHU_VAV_SCHEDULE[[#This Row],[ZONE]],Ahu_Ashrae_Generic[DESIGN VAV MIN SA(CFM)])</f>
        <v>0</v>
      </c>
      <c r="E6" s="112">
        <f>SUMIF(Ahu_Ashrae_Generic[Zone],AHU_VAV_SCHEDULE[[#This Row],[ZONE]],Ahu_Ashrae_Generic[DESIGN VAV MAX SA(CFM)])</f>
        <v>0</v>
      </c>
      <c r="F6" s="114" t="str">
        <f>IFERROR((VLOOKUP(AHU_VAV_SCHEDULE[[#This Row],[MAX VAV
(CFM)]],'DO NOT TOUCH'!$C$9:$D$14,2,TRUE)),"TBD")</f>
        <v>TBD</v>
      </c>
      <c r="G6" s="114">
        <f>G5</f>
        <v>0.5</v>
      </c>
      <c r="H6" s="114">
        <f>AHU_VAV_SCHEDULE[[#This Row],[MIN VAV
(CFM)]]</f>
        <v>0</v>
      </c>
      <c r="I6" s="114">
        <f>INPUT_OUTPUTS!$C$16</f>
        <v>140</v>
      </c>
      <c r="J6" s="114">
        <f>INPUT_OUTPUTS!$C$17</f>
        <v>110</v>
      </c>
      <c r="K6" s="114">
        <f>K5</f>
        <v>55</v>
      </c>
      <c r="L6" s="114">
        <f>L5</f>
        <v>80</v>
      </c>
      <c r="M6" s="114">
        <f>MROUND((1.08*(L6-K6)*AHU_VAV_SCHEDULE[[#This Row],[HEATING AIRFLOW 
(CFM)]])/1000,0.1)</f>
        <v>0</v>
      </c>
      <c r="N6" s="115">
        <f t="shared" si="0"/>
        <v>0</v>
      </c>
      <c r="O6" s="115">
        <f t="shared" si="1"/>
        <v>0.5</v>
      </c>
      <c r="P6" s="369">
        <f>IF($D$2 = "YES",(_xlfn.XLOOKUP(AHU_VAV_SCHEDULE[[#This Row],[GPM]],Hydronic_Pipe_Size[SOUND SENSITIVE],Hydronic_Pipe_Size[SIZE],"Not Found",1)),(_xlfn.XLOOKUP(AHU_VAV_SCHEDULE[[#This Row],[GPM]],Hydronic_Pipe_Size[GPM],Hydronic_Pipe_Size[SIZE],"Not Found",1)))</f>
        <v>0.75</v>
      </c>
      <c r="Q6" s="115">
        <f>Q5</f>
        <v>5</v>
      </c>
      <c r="R6" s="115" t="str">
        <f>IFERROR((_xlfn.XLOOKUP(F6,'DO NOT TOUCH'!$D$9:$D$14,'DO NOT TOUCH'!$E$9:$E$14,)),"TBD")</f>
        <v>TBD</v>
      </c>
      <c r="S6" s="115">
        <f>INPUT_OUTPUTS!$C$19</f>
        <v>0</v>
      </c>
      <c r="T6" s="114" t="str">
        <f>T5</f>
        <v>1, 2</v>
      </c>
    </row>
    <row r="7" spans="1:23" ht="15">
      <c r="A7" s="112" t="s">
        <v>1065</v>
      </c>
      <c r="B7" s="112" t="s">
        <v>63</v>
      </c>
      <c r="C7" s="112" t="s">
        <v>64</v>
      </c>
      <c r="D7" s="113">
        <f>SUMIF(Ahu_Ashrae_Generic[Zone],AHU_VAV_SCHEDULE[[#This Row],[ZONE]],Ahu_Ashrae_Generic[DESIGN VAV MIN SA(CFM)])</f>
        <v>0</v>
      </c>
      <c r="E7" s="112">
        <f>SUMIF(Ahu_Ashrae_Generic[Zone],AHU_VAV_SCHEDULE[[#This Row],[ZONE]],Ahu_Ashrae_Generic[DESIGN VAV MAX SA(CFM)])</f>
        <v>0</v>
      </c>
      <c r="F7" s="114" t="str">
        <f>IFERROR((VLOOKUP(AHU_VAV_SCHEDULE[[#This Row],[MAX VAV
(CFM)]],'DO NOT TOUCH'!$C$9:$D$14,2,TRUE)),"TBD")</f>
        <v>TBD</v>
      </c>
      <c r="G7" s="114">
        <v>0.5</v>
      </c>
      <c r="H7" s="114">
        <f>AHU_VAV_SCHEDULE[[#This Row],[MIN VAV
(CFM)]]</f>
        <v>0</v>
      </c>
      <c r="I7" s="114">
        <f>INPUT_OUTPUTS!$C$16</f>
        <v>140</v>
      </c>
      <c r="J7" s="114">
        <f>INPUT_OUTPUTS!$C$17</f>
        <v>110</v>
      </c>
      <c r="K7" s="114">
        <v>55</v>
      </c>
      <c r="L7" s="114">
        <v>80</v>
      </c>
      <c r="M7" s="114">
        <f>MROUND((1.08*(L7-K7)*AHU_VAV_SCHEDULE[[#This Row],[HEATING AIRFLOW 
(CFM)]])/1000,0.1)</f>
        <v>0</v>
      </c>
      <c r="N7" s="115">
        <f t="shared" si="0"/>
        <v>0</v>
      </c>
      <c r="O7" s="115">
        <f t="shared" si="1"/>
        <v>0.5</v>
      </c>
      <c r="P7" s="369">
        <f>IF($D$2 = "YES",(_xlfn.XLOOKUP(AHU_VAV_SCHEDULE[[#This Row],[GPM]],Hydronic_Pipe_Size[SOUND SENSITIVE],Hydronic_Pipe_Size[SIZE],"Not Found",1)),(_xlfn.XLOOKUP(AHU_VAV_SCHEDULE[[#This Row],[GPM]],Hydronic_Pipe_Size[GPM],Hydronic_Pipe_Size[SIZE],"Not Found",1)))</f>
        <v>0.75</v>
      </c>
      <c r="Q7" s="115">
        <v>5</v>
      </c>
      <c r="R7" s="115" t="str">
        <f>IFERROR((_xlfn.XLOOKUP(F7,'DO NOT TOUCH'!$D$9:$D$14,'DO NOT TOUCH'!$E$9:$E$14,)),"TBD")</f>
        <v>TBD</v>
      </c>
      <c r="S7" s="115">
        <f>INPUT_OUTPUTS!$C$19</f>
        <v>0</v>
      </c>
      <c r="T7" s="114" t="s">
        <v>65</v>
      </c>
    </row>
    <row r="8" spans="1:23" ht="15">
      <c r="A8" s="112" t="s">
        <v>1066</v>
      </c>
      <c r="B8" s="112" t="s">
        <v>63</v>
      </c>
      <c r="C8" s="112" t="s">
        <v>64</v>
      </c>
      <c r="D8" s="113">
        <f>SUMIF(Ahu_Ashrae_Generic[Zone],AHU_VAV_SCHEDULE[[#This Row],[ZONE]],Ahu_Ashrae_Generic[DESIGN VAV MIN SA(CFM)])</f>
        <v>0</v>
      </c>
      <c r="E8" s="112">
        <f>SUMIF(Ahu_Ashrae_Generic[Zone],AHU_VAV_SCHEDULE[[#This Row],[ZONE]],Ahu_Ashrae_Generic[DESIGN VAV MAX SA(CFM)])</f>
        <v>0</v>
      </c>
      <c r="F8" s="114" t="str">
        <f>IFERROR((VLOOKUP(AHU_VAV_SCHEDULE[[#This Row],[MAX VAV
(CFM)]],'DO NOT TOUCH'!$C$9:$D$14,2,TRUE)),"TBD")</f>
        <v>TBD</v>
      </c>
      <c r="G8" s="114">
        <v>0.5</v>
      </c>
      <c r="H8" s="114">
        <f>AHU_VAV_SCHEDULE[[#This Row],[MIN VAV
(CFM)]]</f>
        <v>0</v>
      </c>
      <c r="I8" s="114">
        <f>INPUT_OUTPUTS!$C$16</f>
        <v>140</v>
      </c>
      <c r="J8" s="114">
        <f>INPUT_OUTPUTS!$C$17</f>
        <v>110</v>
      </c>
      <c r="K8" s="114">
        <v>55</v>
      </c>
      <c r="L8" s="114">
        <v>80</v>
      </c>
      <c r="M8" s="114">
        <f>MROUND((1.08*(L8-K8)*AHU_VAV_SCHEDULE[[#This Row],[HEATING AIRFLOW 
(CFM)]])/1000,0.1)</f>
        <v>0</v>
      </c>
      <c r="N8" s="115">
        <f t="shared" si="0"/>
        <v>0</v>
      </c>
      <c r="O8" s="115">
        <f t="shared" si="1"/>
        <v>0.5</v>
      </c>
      <c r="P8" s="369">
        <f>IF($D$2 = "YES",(_xlfn.XLOOKUP(AHU_VAV_SCHEDULE[[#This Row],[GPM]],Hydronic_Pipe_Size[SOUND SENSITIVE],Hydronic_Pipe_Size[SIZE],"Not Found",1)),(_xlfn.XLOOKUP(AHU_VAV_SCHEDULE[[#This Row],[GPM]],Hydronic_Pipe_Size[GPM],Hydronic_Pipe_Size[SIZE],"Not Found",1)))</f>
        <v>0.75</v>
      </c>
      <c r="Q8" s="115">
        <v>5</v>
      </c>
      <c r="R8" s="115" t="str">
        <f>IFERROR((_xlfn.XLOOKUP(F8,'DO NOT TOUCH'!$D$9:$D$14,'DO NOT TOUCH'!$E$9:$E$14,)),"TBD")</f>
        <v>TBD</v>
      </c>
      <c r="S8" s="115">
        <f>INPUT_OUTPUTS!$C$19</f>
        <v>0</v>
      </c>
      <c r="T8" s="114" t="s">
        <v>65</v>
      </c>
    </row>
    <row r="9" spans="1:23" ht="15">
      <c r="A9" s="112" t="s">
        <v>1067</v>
      </c>
      <c r="B9" s="112" t="s">
        <v>63</v>
      </c>
      <c r="C9" s="112" t="s">
        <v>64</v>
      </c>
      <c r="D9" s="113">
        <f>SUMIF(Ahu_Ashrae_Generic[Zone],AHU_VAV_SCHEDULE[[#This Row],[ZONE]],Ahu_Ashrae_Generic[DESIGN VAV MIN SA(CFM)])</f>
        <v>0</v>
      </c>
      <c r="E9" s="112">
        <f>SUMIF(Ahu_Ashrae_Generic[Zone],AHU_VAV_SCHEDULE[[#This Row],[ZONE]],Ahu_Ashrae_Generic[DESIGN VAV MAX SA(CFM)])</f>
        <v>0</v>
      </c>
      <c r="F9" s="114" t="str">
        <f>IFERROR((VLOOKUP(AHU_VAV_SCHEDULE[[#This Row],[MAX VAV
(CFM)]],'DO NOT TOUCH'!$C$9:$D$14,2,TRUE)),"TBD")</f>
        <v>TBD</v>
      </c>
      <c r="G9" s="114">
        <v>0.5</v>
      </c>
      <c r="H9" s="114">
        <f>AHU_VAV_SCHEDULE[[#This Row],[MIN VAV
(CFM)]]</f>
        <v>0</v>
      </c>
      <c r="I9" s="114">
        <f>INPUT_OUTPUTS!$C$16</f>
        <v>140</v>
      </c>
      <c r="J9" s="114">
        <f>INPUT_OUTPUTS!$C$17</f>
        <v>110</v>
      </c>
      <c r="K9" s="114">
        <v>55</v>
      </c>
      <c r="L9" s="114">
        <v>80</v>
      </c>
      <c r="M9" s="114">
        <f>MROUND((1.08*(L9-K9)*AHU_VAV_SCHEDULE[[#This Row],[HEATING AIRFLOW 
(CFM)]])/1000,0.1)</f>
        <v>0</v>
      </c>
      <c r="N9" s="115">
        <f t="shared" si="0"/>
        <v>0</v>
      </c>
      <c r="O9" s="115">
        <f t="shared" si="1"/>
        <v>0.5</v>
      </c>
      <c r="P9" s="369">
        <f>IF($D$2 = "YES",(_xlfn.XLOOKUP(AHU_VAV_SCHEDULE[[#This Row],[GPM]],Hydronic_Pipe_Size[SOUND SENSITIVE],Hydronic_Pipe_Size[SIZE],"Not Found",1)),(_xlfn.XLOOKUP(AHU_VAV_SCHEDULE[[#This Row],[GPM]],Hydronic_Pipe_Size[GPM],Hydronic_Pipe_Size[SIZE],"Not Found",1)))</f>
        <v>0.75</v>
      </c>
      <c r="Q9" s="115">
        <v>5</v>
      </c>
      <c r="R9" s="115" t="str">
        <f>IFERROR((_xlfn.XLOOKUP(F9,'DO NOT TOUCH'!$D$9:$D$14,'DO NOT TOUCH'!$E$9:$E$14,)),"TBD")</f>
        <v>TBD</v>
      </c>
      <c r="S9" s="115">
        <f>INPUT_OUTPUTS!$C$19</f>
        <v>0</v>
      </c>
      <c r="T9" s="114" t="s">
        <v>65</v>
      </c>
    </row>
    <row r="10" spans="1:23" ht="15">
      <c r="A10" s="112" t="s">
        <v>1068</v>
      </c>
      <c r="B10" s="112" t="s">
        <v>63</v>
      </c>
      <c r="C10" s="112" t="s">
        <v>64</v>
      </c>
      <c r="D10" s="113">
        <f>SUMIF(Ahu_Ashrae_Generic[Zone],AHU_VAV_SCHEDULE[[#This Row],[ZONE]],Ahu_Ashrae_Generic[DESIGN VAV MIN SA(CFM)])</f>
        <v>0</v>
      </c>
      <c r="E10" s="112">
        <f>SUMIF(Ahu_Ashrae_Generic[Zone],AHU_VAV_SCHEDULE[[#This Row],[ZONE]],Ahu_Ashrae_Generic[DESIGN VAV MAX SA(CFM)])</f>
        <v>0</v>
      </c>
      <c r="F10" s="114" t="str">
        <f>IFERROR((VLOOKUP(AHU_VAV_SCHEDULE[[#This Row],[MAX VAV
(CFM)]],'DO NOT TOUCH'!$C$9:$D$14,2,TRUE)),"TBD")</f>
        <v>TBD</v>
      </c>
      <c r="G10" s="114">
        <v>0.5</v>
      </c>
      <c r="H10" s="114">
        <f>AHU_VAV_SCHEDULE[[#This Row],[MIN VAV
(CFM)]]</f>
        <v>0</v>
      </c>
      <c r="I10" s="114">
        <f>INPUT_OUTPUTS!$C$16</f>
        <v>140</v>
      </c>
      <c r="J10" s="114">
        <f>INPUT_OUTPUTS!$C$17</f>
        <v>110</v>
      </c>
      <c r="K10" s="114">
        <v>55</v>
      </c>
      <c r="L10" s="114">
        <v>80</v>
      </c>
      <c r="M10" s="114">
        <f>MROUND((1.08*(L10-K10)*AHU_VAV_SCHEDULE[[#This Row],[HEATING AIRFLOW 
(CFM)]])/1000,0.1)</f>
        <v>0</v>
      </c>
      <c r="N10" s="115">
        <f t="shared" si="0"/>
        <v>0</v>
      </c>
      <c r="O10" s="115">
        <f t="shared" si="1"/>
        <v>0.5</v>
      </c>
      <c r="P10" s="369">
        <f>IF($D$2 = "YES",(_xlfn.XLOOKUP(AHU_VAV_SCHEDULE[[#This Row],[GPM]],Hydronic_Pipe_Size[SOUND SENSITIVE],Hydronic_Pipe_Size[SIZE],"Not Found",1)),(_xlfn.XLOOKUP(AHU_VAV_SCHEDULE[[#This Row],[GPM]],Hydronic_Pipe_Size[GPM],Hydronic_Pipe_Size[SIZE],"Not Found",1)))</f>
        <v>0.75</v>
      </c>
      <c r="Q10" s="115">
        <v>5</v>
      </c>
      <c r="R10" s="115" t="str">
        <f>IFERROR((_xlfn.XLOOKUP(F10,'DO NOT TOUCH'!$D$9:$D$14,'DO NOT TOUCH'!$E$9:$E$14,)),"TBD")</f>
        <v>TBD</v>
      </c>
      <c r="S10" s="115">
        <f>INPUT_OUTPUTS!$C$19</f>
        <v>0</v>
      </c>
      <c r="T10" s="114" t="s">
        <v>65</v>
      </c>
    </row>
    <row r="11" spans="1:23" ht="15">
      <c r="A11" s="112" t="s">
        <v>1069</v>
      </c>
      <c r="B11" s="112" t="s">
        <v>63</v>
      </c>
      <c r="C11" s="112" t="s">
        <v>64</v>
      </c>
      <c r="D11" s="113">
        <f>SUMIF(Ahu_Ashrae_Generic[Zone],AHU_VAV_SCHEDULE[[#This Row],[ZONE]],Ahu_Ashrae_Generic[DESIGN VAV MIN SA(CFM)])</f>
        <v>0</v>
      </c>
      <c r="E11" s="112">
        <f>SUMIF(Ahu_Ashrae_Generic[Zone],AHU_VAV_SCHEDULE[[#This Row],[ZONE]],Ahu_Ashrae_Generic[DESIGN VAV MAX SA(CFM)])</f>
        <v>0</v>
      </c>
      <c r="F11" s="114" t="str">
        <f>IFERROR((VLOOKUP(AHU_VAV_SCHEDULE[[#This Row],[MAX VAV
(CFM)]],'DO NOT TOUCH'!$C$9:$D$14,2,TRUE)),"TBD")</f>
        <v>TBD</v>
      </c>
      <c r="G11" s="114">
        <v>0.5</v>
      </c>
      <c r="H11" s="114">
        <f>AHU_VAV_SCHEDULE[[#This Row],[MIN VAV
(CFM)]]</f>
        <v>0</v>
      </c>
      <c r="I11" s="114">
        <f>INPUT_OUTPUTS!$C$16</f>
        <v>140</v>
      </c>
      <c r="J11" s="114">
        <f>INPUT_OUTPUTS!$C$17</f>
        <v>110</v>
      </c>
      <c r="K11" s="114">
        <v>55</v>
      </c>
      <c r="L11" s="114">
        <v>80</v>
      </c>
      <c r="M11" s="114">
        <f>MROUND((1.08*(L11-K11)*AHU_VAV_SCHEDULE[[#This Row],[HEATING AIRFLOW 
(CFM)]])/1000,0.1)</f>
        <v>0</v>
      </c>
      <c r="N11" s="115">
        <f t="shared" si="0"/>
        <v>0</v>
      </c>
      <c r="O11" s="115">
        <f t="shared" si="1"/>
        <v>0.5</v>
      </c>
      <c r="P11" s="369">
        <f>IF($D$2 = "YES",(_xlfn.XLOOKUP(AHU_VAV_SCHEDULE[[#This Row],[GPM]],Hydronic_Pipe_Size[SOUND SENSITIVE],Hydronic_Pipe_Size[SIZE],"Not Found",1)),(_xlfn.XLOOKUP(AHU_VAV_SCHEDULE[[#This Row],[GPM]],Hydronic_Pipe_Size[GPM],Hydronic_Pipe_Size[SIZE],"Not Found",1)))</f>
        <v>0.75</v>
      </c>
      <c r="Q11" s="115">
        <v>5</v>
      </c>
      <c r="R11" s="115" t="str">
        <f>IFERROR((_xlfn.XLOOKUP(F11,'DO NOT TOUCH'!$D$9:$D$14,'DO NOT TOUCH'!$E$9:$E$14,)),"TBD")</f>
        <v>TBD</v>
      </c>
      <c r="S11" s="115">
        <f>INPUT_OUTPUTS!$C$19</f>
        <v>0</v>
      </c>
      <c r="T11" s="114" t="s">
        <v>65</v>
      </c>
    </row>
    <row r="12" spans="1:23" ht="15">
      <c r="A12" s="112" t="s">
        <v>1070</v>
      </c>
      <c r="B12" s="112" t="s">
        <v>63</v>
      </c>
      <c r="C12" s="112" t="s">
        <v>64</v>
      </c>
      <c r="D12" s="113">
        <f>SUMIF(Ahu_Ashrae_Generic[Zone],AHU_VAV_SCHEDULE[[#This Row],[ZONE]],Ahu_Ashrae_Generic[DESIGN VAV MIN SA(CFM)])</f>
        <v>0</v>
      </c>
      <c r="E12" s="112">
        <f>SUMIF(Ahu_Ashrae_Generic[Zone],AHU_VAV_SCHEDULE[[#This Row],[ZONE]],Ahu_Ashrae_Generic[DESIGN VAV MAX SA(CFM)])</f>
        <v>0</v>
      </c>
      <c r="F12" s="114" t="str">
        <f>IFERROR((VLOOKUP(AHU_VAV_SCHEDULE[[#This Row],[MAX VAV
(CFM)]],'DO NOT TOUCH'!$C$9:$D$14,2,TRUE)),"TBD")</f>
        <v>TBD</v>
      </c>
      <c r="G12" s="114">
        <v>0.5</v>
      </c>
      <c r="H12" s="114">
        <f>AHU_VAV_SCHEDULE[[#This Row],[MIN VAV
(CFM)]]</f>
        <v>0</v>
      </c>
      <c r="I12" s="114">
        <f>INPUT_OUTPUTS!$C$16</f>
        <v>140</v>
      </c>
      <c r="J12" s="114">
        <f>INPUT_OUTPUTS!$C$17</f>
        <v>110</v>
      </c>
      <c r="K12" s="114">
        <v>55</v>
      </c>
      <c r="L12" s="114">
        <v>80</v>
      </c>
      <c r="M12" s="114">
        <f>MROUND((1.08*(L12-K12)*AHU_VAV_SCHEDULE[[#This Row],[HEATING AIRFLOW 
(CFM)]])/1000,0.1)</f>
        <v>0</v>
      </c>
      <c r="N12" s="115">
        <f t="shared" si="0"/>
        <v>0</v>
      </c>
      <c r="O12" s="115">
        <f t="shared" si="1"/>
        <v>0.5</v>
      </c>
      <c r="P12" s="369">
        <f>IF($D$2 = "YES",(_xlfn.XLOOKUP(AHU_VAV_SCHEDULE[[#This Row],[GPM]],Hydronic_Pipe_Size[SOUND SENSITIVE],Hydronic_Pipe_Size[SIZE],"Not Found",1)),(_xlfn.XLOOKUP(AHU_VAV_SCHEDULE[[#This Row],[GPM]],Hydronic_Pipe_Size[GPM],Hydronic_Pipe_Size[SIZE],"Not Found",1)))</f>
        <v>0.75</v>
      </c>
      <c r="Q12" s="115">
        <v>5</v>
      </c>
      <c r="R12" s="115" t="str">
        <f>IFERROR((_xlfn.XLOOKUP(F12,'DO NOT TOUCH'!$D$9:$D$14,'DO NOT TOUCH'!$E$9:$E$14,)),"TBD")</f>
        <v>TBD</v>
      </c>
      <c r="S12" s="115">
        <f>INPUT_OUTPUTS!$C$19</f>
        <v>0</v>
      </c>
      <c r="T12" s="114" t="s">
        <v>65</v>
      </c>
    </row>
    <row r="13" spans="1:23" ht="15">
      <c r="A13" s="112" t="s">
        <v>1071</v>
      </c>
      <c r="B13" s="112" t="s">
        <v>63</v>
      </c>
      <c r="C13" s="112" t="s">
        <v>64</v>
      </c>
      <c r="D13" s="113">
        <f>SUMIF(Ahu_Ashrae_Generic[Zone],AHU_VAV_SCHEDULE[[#This Row],[ZONE]],Ahu_Ashrae_Generic[DESIGN VAV MIN SA(CFM)])</f>
        <v>0</v>
      </c>
      <c r="E13" s="112">
        <f>SUMIF(Ahu_Ashrae_Generic[Zone],AHU_VAV_SCHEDULE[[#This Row],[ZONE]],Ahu_Ashrae_Generic[DESIGN VAV MAX SA(CFM)])</f>
        <v>0</v>
      </c>
      <c r="F13" s="114" t="str">
        <f>IFERROR((VLOOKUP(AHU_VAV_SCHEDULE[[#This Row],[MAX VAV
(CFM)]],'DO NOT TOUCH'!$C$9:$D$14,2,TRUE)),"TBD")</f>
        <v>TBD</v>
      </c>
      <c r="G13" s="114">
        <v>0.5</v>
      </c>
      <c r="H13" s="114">
        <f>AHU_VAV_SCHEDULE[[#This Row],[MIN VAV
(CFM)]]</f>
        <v>0</v>
      </c>
      <c r="I13" s="114">
        <f>INPUT_OUTPUTS!$C$16</f>
        <v>140</v>
      </c>
      <c r="J13" s="114">
        <f>INPUT_OUTPUTS!$C$17</f>
        <v>110</v>
      </c>
      <c r="K13" s="114">
        <v>55</v>
      </c>
      <c r="L13" s="114">
        <v>80</v>
      </c>
      <c r="M13" s="114">
        <f>MROUND((1.08*(L13-K13)*AHU_VAV_SCHEDULE[[#This Row],[HEATING AIRFLOW 
(CFM)]])/1000,0.1)</f>
        <v>0</v>
      </c>
      <c r="N13" s="115">
        <f t="shared" si="0"/>
        <v>0</v>
      </c>
      <c r="O13" s="115">
        <f t="shared" si="1"/>
        <v>0.5</v>
      </c>
      <c r="P13" s="369">
        <f>IF($D$2 = "YES",(_xlfn.XLOOKUP(AHU_VAV_SCHEDULE[[#This Row],[GPM]],Hydronic_Pipe_Size[SOUND SENSITIVE],Hydronic_Pipe_Size[SIZE],"Not Found",1)),(_xlfn.XLOOKUP(AHU_VAV_SCHEDULE[[#This Row],[GPM]],Hydronic_Pipe_Size[GPM],Hydronic_Pipe_Size[SIZE],"Not Found",1)))</f>
        <v>0.75</v>
      </c>
      <c r="Q13" s="115">
        <v>5</v>
      </c>
      <c r="R13" s="115" t="str">
        <f>IFERROR((_xlfn.XLOOKUP(F13,'DO NOT TOUCH'!$D$9:$D$14,'DO NOT TOUCH'!$E$9:$E$14,)),"TBD")</f>
        <v>TBD</v>
      </c>
      <c r="S13" s="115">
        <f>INPUT_OUTPUTS!$C$19</f>
        <v>0</v>
      </c>
      <c r="T13" s="114" t="s">
        <v>65</v>
      </c>
    </row>
    <row r="14" spans="1:23" ht="15">
      <c r="A14" s="112" t="s">
        <v>1072</v>
      </c>
      <c r="B14" s="112" t="s">
        <v>63</v>
      </c>
      <c r="C14" s="112" t="s">
        <v>64</v>
      </c>
      <c r="D14" s="113">
        <f>SUMIF(Ahu_Ashrae_Generic[Zone],AHU_VAV_SCHEDULE[[#This Row],[ZONE]],Ahu_Ashrae_Generic[DESIGN VAV MIN SA(CFM)])</f>
        <v>0</v>
      </c>
      <c r="E14" s="112">
        <f>SUMIF(Ahu_Ashrae_Generic[Zone],AHU_VAV_SCHEDULE[[#This Row],[ZONE]],Ahu_Ashrae_Generic[DESIGN VAV MAX SA(CFM)])</f>
        <v>0</v>
      </c>
      <c r="F14" s="114" t="str">
        <f>IFERROR((VLOOKUP(AHU_VAV_SCHEDULE[[#This Row],[MAX VAV
(CFM)]],'DO NOT TOUCH'!$C$9:$D$14,2,TRUE)),"TBD")</f>
        <v>TBD</v>
      </c>
      <c r="G14" s="114">
        <v>0.5</v>
      </c>
      <c r="H14" s="114">
        <f>AHU_VAV_SCHEDULE[[#This Row],[MIN VAV
(CFM)]]</f>
        <v>0</v>
      </c>
      <c r="I14" s="114">
        <f>INPUT_OUTPUTS!$C$16</f>
        <v>140</v>
      </c>
      <c r="J14" s="114">
        <f>INPUT_OUTPUTS!$C$17</f>
        <v>110</v>
      </c>
      <c r="K14" s="114">
        <v>55</v>
      </c>
      <c r="L14" s="114">
        <v>80</v>
      </c>
      <c r="M14" s="114">
        <f>MROUND((1.08*(L14-K14)*AHU_VAV_SCHEDULE[[#This Row],[HEATING AIRFLOW 
(CFM)]])/1000,0.1)</f>
        <v>0</v>
      </c>
      <c r="N14" s="115">
        <f t="shared" si="0"/>
        <v>0</v>
      </c>
      <c r="O14" s="115">
        <f t="shared" si="1"/>
        <v>0.5</v>
      </c>
      <c r="P14" s="369">
        <f>IF($D$2 = "YES",(_xlfn.XLOOKUP(AHU_VAV_SCHEDULE[[#This Row],[GPM]],Hydronic_Pipe_Size[SOUND SENSITIVE],Hydronic_Pipe_Size[SIZE],"Not Found",1)),(_xlfn.XLOOKUP(AHU_VAV_SCHEDULE[[#This Row],[GPM]],Hydronic_Pipe_Size[GPM],Hydronic_Pipe_Size[SIZE],"Not Found",1)))</f>
        <v>0.75</v>
      </c>
      <c r="Q14" s="115">
        <v>5</v>
      </c>
      <c r="R14" s="115" t="str">
        <f>IFERROR((_xlfn.XLOOKUP(F14,'DO NOT TOUCH'!$D$9:$D$14,'DO NOT TOUCH'!$E$9:$E$14,)),"TBD")</f>
        <v>TBD</v>
      </c>
      <c r="S14" s="115">
        <f>INPUT_OUTPUTS!$C$19</f>
        <v>0</v>
      </c>
      <c r="T14" s="114" t="s">
        <v>65</v>
      </c>
    </row>
    <row r="15" spans="1:23" ht="15">
      <c r="A15" s="112" t="s">
        <v>1073</v>
      </c>
      <c r="B15" s="112" t="s">
        <v>63</v>
      </c>
      <c r="C15" s="112" t="s">
        <v>64</v>
      </c>
      <c r="D15" s="113">
        <f>SUMIF(Ahu_Ashrae_Generic[Zone],AHU_VAV_SCHEDULE[[#This Row],[ZONE]],Ahu_Ashrae_Generic[DESIGN VAV MIN SA(CFM)])</f>
        <v>0</v>
      </c>
      <c r="E15" s="112">
        <f>SUMIF(Ahu_Ashrae_Generic[Zone],AHU_VAV_SCHEDULE[[#This Row],[ZONE]],Ahu_Ashrae_Generic[DESIGN VAV MAX SA(CFM)])</f>
        <v>0</v>
      </c>
      <c r="F15" s="114" t="str">
        <f>IFERROR((VLOOKUP(AHU_VAV_SCHEDULE[[#This Row],[MAX VAV
(CFM)]],'DO NOT TOUCH'!$C$9:$D$14,2,TRUE)),"TBD")</f>
        <v>TBD</v>
      </c>
      <c r="G15" s="114">
        <v>0.5</v>
      </c>
      <c r="H15" s="114">
        <f>AHU_VAV_SCHEDULE[[#This Row],[MIN VAV
(CFM)]]</f>
        <v>0</v>
      </c>
      <c r="I15" s="114">
        <f>INPUT_OUTPUTS!$C$16</f>
        <v>140</v>
      </c>
      <c r="J15" s="114">
        <f>INPUT_OUTPUTS!$C$17</f>
        <v>110</v>
      </c>
      <c r="K15" s="114">
        <v>55</v>
      </c>
      <c r="L15" s="114">
        <v>80</v>
      </c>
      <c r="M15" s="114">
        <f>MROUND((1.08*(L15-K15)*AHU_VAV_SCHEDULE[[#This Row],[HEATING AIRFLOW 
(CFM)]])/1000,0.1)</f>
        <v>0</v>
      </c>
      <c r="N15" s="115">
        <f t="shared" si="0"/>
        <v>0</v>
      </c>
      <c r="O15" s="115">
        <f t="shared" si="1"/>
        <v>0.5</v>
      </c>
      <c r="P15" s="369">
        <f>IF($D$2 = "YES",(_xlfn.XLOOKUP(AHU_VAV_SCHEDULE[[#This Row],[GPM]],Hydronic_Pipe_Size[SOUND SENSITIVE],Hydronic_Pipe_Size[SIZE],"Not Found",1)),(_xlfn.XLOOKUP(AHU_VAV_SCHEDULE[[#This Row],[GPM]],Hydronic_Pipe_Size[GPM],Hydronic_Pipe_Size[SIZE],"Not Found",1)))</f>
        <v>0.75</v>
      </c>
      <c r="Q15" s="115">
        <v>5</v>
      </c>
      <c r="R15" s="115" t="str">
        <f>IFERROR((_xlfn.XLOOKUP(F15,'DO NOT TOUCH'!$D$9:$D$14,'DO NOT TOUCH'!$E$9:$E$14,)),"TBD")</f>
        <v>TBD</v>
      </c>
      <c r="S15" s="115">
        <f>INPUT_OUTPUTS!$C$19</f>
        <v>0</v>
      </c>
      <c r="T15" s="114" t="s">
        <v>65</v>
      </c>
    </row>
    <row r="16" spans="1:23" ht="15">
      <c r="A16" s="112" t="s">
        <v>1074</v>
      </c>
      <c r="B16" s="112" t="s">
        <v>63</v>
      </c>
      <c r="C16" s="112" t="s">
        <v>64</v>
      </c>
      <c r="D16" s="113">
        <f>SUMIF(Ahu_Ashrae_Generic[Zone],AHU_VAV_SCHEDULE[[#This Row],[ZONE]],Ahu_Ashrae_Generic[DESIGN VAV MIN SA(CFM)])</f>
        <v>0</v>
      </c>
      <c r="E16" s="112">
        <f>SUMIF(Ahu_Ashrae_Generic[Zone],AHU_VAV_SCHEDULE[[#This Row],[ZONE]],Ahu_Ashrae_Generic[DESIGN VAV MAX SA(CFM)])</f>
        <v>0</v>
      </c>
      <c r="F16" s="114" t="str">
        <f>IFERROR((VLOOKUP(AHU_VAV_SCHEDULE[[#This Row],[MAX VAV
(CFM)]],'DO NOT TOUCH'!$C$9:$D$14,2,TRUE)),"TBD")</f>
        <v>TBD</v>
      </c>
      <c r="G16" s="114">
        <v>0.5</v>
      </c>
      <c r="H16" s="114">
        <f>AHU_VAV_SCHEDULE[[#This Row],[MIN VAV
(CFM)]]</f>
        <v>0</v>
      </c>
      <c r="I16" s="114">
        <f>INPUT_OUTPUTS!$C$16</f>
        <v>140</v>
      </c>
      <c r="J16" s="114">
        <f>INPUT_OUTPUTS!$C$17</f>
        <v>110</v>
      </c>
      <c r="K16" s="114">
        <v>55</v>
      </c>
      <c r="L16" s="114">
        <v>80</v>
      </c>
      <c r="M16" s="114">
        <f>MROUND((1.08*(L16-K16)*AHU_VAV_SCHEDULE[[#This Row],[HEATING AIRFLOW 
(CFM)]])/1000,0.1)</f>
        <v>0</v>
      </c>
      <c r="N16" s="115">
        <f t="shared" si="0"/>
        <v>0</v>
      </c>
      <c r="O16" s="115">
        <f t="shared" si="1"/>
        <v>0.5</v>
      </c>
      <c r="P16" s="369">
        <f>IF($D$2 = "YES",(_xlfn.XLOOKUP(AHU_VAV_SCHEDULE[[#This Row],[GPM]],Hydronic_Pipe_Size[SOUND SENSITIVE],Hydronic_Pipe_Size[SIZE],"Not Found",1)),(_xlfn.XLOOKUP(AHU_VAV_SCHEDULE[[#This Row],[GPM]],Hydronic_Pipe_Size[GPM],Hydronic_Pipe_Size[SIZE],"Not Found",1)))</f>
        <v>0.75</v>
      </c>
      <c r="Q16" s="115">
        <v>5</v>
      </c>
      <c r="R16" s="115" t="str">
        <f>IFERROR((_xlfn.XLOOKUP(F16,'DO NOT TOUCH'!$D$9:$D$14,'DO NOT TOUCH'!$E$9:$E$14,)),"TBD")</f>
        <v>TBD</v>
      </c>
      <c r="S16" s="115">
        <f>INPUT_OUTPUTS!$C$19</f>
        <v>0</v>
      </c>
      <c r="T16" s="114" t="s">
        <v>65</v>
      </c>
    </row>
    <row r="17" spans="1:20" ht="15">
      <c r="A17" s="106" t="s">
        <v>74</v>
      </c>
      <c r="B17" s="107"/>
      <c r="C17" s="107"/>
      <c r="D17" s="107"/>
      <c r="E17" s="108"/>
      <c r="F17" s="108"/>
      <c r="G17" s="108"/>
      <c r="H17" s="108"/>
      <c r="I17" s="108"/>
      <c r="J17" s="108"/>
      <c r="K17" s="108"/>
      <c r="L17" s="108"/>
      <c r="M17" s="108">
        <f ca="1">SUBTOTAL(109,AHU_VAV_SCHEDULE[MIN MBH])</f>
        <v>81.400000000000006</v>
      </c>
      <c r="N17" s="108"/>
      <c r="O17" s="109">
        <f ca="1">SUBTOTAL(109,AHU_VAV_SCHEDULE[GPM])</f>
        <v>10.926666666666666</v>
      </c>
      <c r="P17" s="109"/>
      <c r="Q17" s="108"/>
      <c r="R17" s="108"/>
      <c r="S17" s="108"/>
      <c r="T17" s="110"/>
    </row>
  </sheetData>
  <phoneticPr fontId="13" type="noConversion"/>
  <dataValidations disablePrompts="1" count="1">
    <dataValidation type="list" allowBlank="1" showInputMessage="1" showErrorMessage="1" sqref="D2" xr:uid="{6CA3CC69-BEA4-49CC-B087-4FACC2FF4B19}">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AddRowsToTableWithUserInput" altText="HUMIDIFICATION">
                <anchor moveWithCells="1" sizeWithCells="1">
                  <from>
                    <xdr:col>0</xdr:col>
                    <xdr:colOff>579120</xdr:colOff>
                    <xdr:row>0</xdr:row>
                    <xdr:rowOff>60960</xdr:rowOff>
                  </from>
                  <to>
                    <xdr:col>1</xdr:col>
                    <xdr:colOff>1074420</xdr:colOff>
                    <xdr:row>2</xdr:row>
                    <xdr:rowOff>91440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4628-583D-45FD-A14B-37602AA4B733}">
  <sheetPr codeName="Sheet13">
    <tabColor rgb="FFFFC000"/>
  </sheetPr>
  <dimension ref="B3:E33"/>
  <sheetViews>
    <sheetView topLeftCell="A5" zoomScale="79" workbookViewId="0">
      <selection activeCell="B20" sqref="B20"/>
    </sheetView>
  </sheetViews>
  <sheetFormatPr defaultRowHeight="13.2"/>
  <cols>
    <col min="1" max="1" width="15.77734375" bestFit="1" customWidth="1"/>
    <col min="2" max="2" width="94.33203125" bestFit="1" customWidth="1"/>
    <col min="3" max="3" width="28.88671875" customWidth="1"/>
    <col min="4" max="4" width="29.44140625" customWidth="1"/>
    <col min="5" max="5" width="26.109375" customWidth="1"/>
  </cols>
  <sheetData>
    <row r="3" spans="2:5" ht="19.2" thickBot="1">
      <c r="B3" s="272" t="s">
        <v>710</v>
      </c>
      <c r="C3" s="273" t="s">
        <v>713</v>
      </c>
      <c r="D3" s="273" t="s">
        <v>712</v>
      </c>
      <c r="E3" s="274" t="s">
        <v>711</v>
      </c>
    </row>
    <row r="4" spans="2:5" ht="18.600000000000001">
      <c r="B4" s="290"/>
      <c r="C4" s="290"/>
      <c r="D4" s="290"/>
      <c r="E4" s="290"/>
    </row>
    <row r="5" spans="2:5" ht="18.600000000000001">
      <c r="B5" s="290"/>
      <c r="C5" s="290"/>
      <c r="D5" s="290"/>
      <c r="E5" s="290"/>
    </row>
    <row r="6" spans="2:5" ht="18.600000000000001">
      <c r="B6" s="290" t="s">
        <v>100</v>
      </c>
      <c r="C6" s="290"/>
      <c r="D6" s="290"/>
      <c r="E6" s="290"/>
    </row>
    <row r="7" spans="2:5" ht="18.600000000000001">
      <c r="B7" s="290" t="s">
        <v>293</v>
      </c>
      <c r="C7" s="290"/>
      <c r="D7" s="290"/>
      <c r="E7" s="290"/>
    </row>
    <row r="8" spans="2:5" ht="18.600000000000001">
      <c r="B8" s="290" t="s">
        <v>306</v>
      </c>
      <c r="C8" s="290"/>
      <c r="D8" s="290"/>
      <c r="E8" s="290"/>
    </row>
    <row r="9" spans="2:5" ht="18.600000000000001">
      <c r="B9" s="290" t="s">
        <v>337</v>
      </c>
      <c r="C9" s="290"/>
      <c r="D9" s="290"/>
      <c r="E9" s="290"/>
    </row>
    <row r="10" spans="2:5" ht="18.600000000000001">
      <c r="B10" s="290" t="s">
        <v>286</v>
      </c>
      <c r="C10" s="290"/>
      <c r="D10" s="290"/>
      <c r="E10" s="290"/>
    </row>
    <row r="11" spans="2:5" ht="18.600000000000001">
      <c r="B11" s="290" t="s">
        <v>353</v>
      </c>
      <c r="C11" s="290"/>
      <c r="D11" s="290"/>
      <c r="E11" s="290"/>
    </row>
    <row r="12" spans="2:5" ht="18.600000000000001">
      <c r="B12" s="290" t="s">
        <v>339</v>
      </c>
      <c r="C12" s="290"/>
      <c r="D12" s="290"/>
      <c r="E12" s="290"/>
    </row>
    <row r="13" spans="2:5" ht="18.600000000000001">
      <c r="B13" s="290" t="s">
        <v>276</v>
      </c>
      <c r="C13" s="290"/>
      <c r="D13" s="290"/>
      <c r="E13" s="290"/>
    </row>
    <row r="14" spans="2:5" ht="18.600000000000001">
      <c r="B14" s="290" t="s">
        <v>262</v>
      </c>
      <c r="C14" s="290"/>
      <c r="D14" s="290"/>
      <c r="E14" s="290"/>
    </row>
    <row r="15" spans="2:5" ht="18.600000000000001">
      <c r="B15" s="290" t="s">
        <v>278</v>
      </c>
      <c r="C15" s="290"/>
      <c r="D15" s="290"/>
      <c r="E15" s="290"/>
    </row>
    <row r="16" spans="2:5" ht="18.600000000000001">
      <c r="B16" s="290" t="s">
        <v>72</v>
      </c>
      <c r="C16" s="290"/>
      <c r="D16" s="290"/>
      <c r="E16" s="290"/>
    </row>
    <row r="17" spans="2:5" ht="18.600000000000001">
      <c r="B17" s="290" t="s">
        <v>103</v>
      </c>
      <c r="C17" s="290"/>
      <c r="D17" s="290"/>
      <c r="E17" s="290"/>
    </row>
    <row r="18" spans="2:5" ht="18.600000000000001">
      <c r="B18" s="290" t="s">
        <v>510</v>
      </c>
      <c r="C18" s="290"/>
      <c r="D18" s="290"/>
      <c r="E18" s="290"/>
    </row>
    <row r="19" spans="2:5" ht="18.600000000000001">
      <c r="B19" s="290" t="s">
        <v>557</v>
      </c>
      <c r="C19" s="290"/>
      <c r="D19" s="290"/>
      <c r="E19" s="290"/>
    </row>
    <row r="20" spans="2:5" ht="18.600000000000001">
      <c r="B20" s="290" t="s">
        <v>100</v>
      </c>
      <c r="C20" s="290"/>
      <c r="D20" s="290"/>
      <c r="E20" s="290"/>
    </row>
    <row r="21" spans="2:5" ht="18.600000000000001">
      <c r="B21" s="290" t="s">
        <v>293</v>
      </c>
      <c r="C21" s="290"/>
      <c r="D21" s="290"/>
      <c r="E21" s="290"/>
    </row>
    <row r="22" spans="2:5" ht="18.600000000000001">
      <c r="B22" s="290" t="s">
        <v>306</v>
      </c>
      <c r="C22" s="290"/>
      <c r="D22" s="290"/>
      <c r="E22" s="290"/>
    </row>
    <row r="23" spans="2:5" ht="18.600000000000001">
      <c r="B23" s="290" t="s">
        <v>337</v>
      </c>
      <c r="C23" s="290"/>
      <c r="D23" s="290"/>
      <c r="E23" s="290"/>
    </row>
    <row r="24" spans="2:5" ht="18.600000000000001">
      <c r="B24" s="290" t="s">
        <v>286</v>
      </c>
      <c r="C24" s="290"/>
      <c r="D24" s="290"/>
      <c r="E24" s="290"/>
    </row>
    <row r="25" spans="2:5" ht="18.600000000000001">
      <c r="B25" s="290" t="s">
        <v>353</v>
      </c>
      <c r="C25" s="290"/>
      <c r="D25" s="290"/>
      <c r="E25" s="290"/>
    </row>
    <row r="26" spans="2:5" ht="18.600000000000001">
      <c r="B26" s="290" t="s">
        <v>339</v>
      </c>
      <c r="C26" s="290"/>
      <c r="D26" s="290"/>
      <c r="E26" s="290"/>
    </row>
    <row r="27" spans="2:5" ht="18.600000000000001">
      <c r="B27" s="290" t="s">
        <v>276</v>
      </c>
      <c r="C27" s="290"/>
      <c r="D27" s="290"/>
      <c r="E27" s="290"/>
    </row>
    <row r="28" spans="2:5" ht="18.600000000000001">
      <c r="B28" s="290" t="s">
        <v>262</v>
      </c>
      <c r="C28" s="290"/>
      <c r="D28" s="290"/>
      <c r="E28" s="290"/>
    </row>
    <row r="29" spans="2:5" ht="18.600000000000001">
      <c r="B29" s="290" t="s">
        <v>278</v>
      </c>
      <c r="C29" s="290"/>
      <c r="D29" s="290"/>
      <c r="E29" s="290"/>
    </row>
    <row r="30" spans="2:5" ht="18.600000000000001">
      <c r="B30" s="290" t="s">
        <v>72</v>
      </c>
      <c r="C30" s="290"/>
      <c r="D30" s="290"/>
      <c r="E30" s="290"/>
    </row>
    <row r="31" spans="2:5" ht="18.600000000000001">
      <c r="B31" s="290" t="s">
        <v>103</v>
      </c>
      <c r="C31" s="290"/>
      <c r="D31" s="290"/>
      <c r="E31" s="290"/>
    </row>
    <row r="32" spans="2:5" ht="18.600000000000001">
      <c r="B32" s="290" t="s">
        <v>510</v>
      </c>
      <c r="C32" s="290"/>
      <c r="D32" s="290"/>
      <c r="E32" s="290"/>
    </row>
    <row r="33" spans="2:5" ht="18.600000000000001">
      <c r="B33" s="290" t="s">
        <v>557</v>
      </c>
      <c r="C33" s="290"/>
      <c r="D33" s="290"/>
      <c r="E33" s="29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Fill="0" autoPict="0" macro="[0]!CopyUniqueValuesToRoomTemperature" altText="HUMIDIFICATION">
                <anchor moveWithCells="1" sizeWithCells="1">
                  <from>
                    <xdr:col>7</xdr:col>
                    <xdr:colOff>99060</xdr:colOff>
                    <xdr:row>2</xdr:row>
                    <xdr:rowOff>114300</xdr:rowOff>
                  </from>
                  <to>
                    <xdr:col>9</xdr:col>
                    <xdr:colOff>205740</xdr:colOff>
                    <xdr:row>4</xdr:row>
                    <xdr:rowOff>22860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34CEA-05F6-47C2-A295-EEDA298463B7}">
  <sheetPr codeName="Sheet23">
    <tabColor theme="5" tint="0.39997558519241921"/>
  </sheetPr>
  <dimension ref="A3:H48"/>
  <sheetViews>
    <sheetView workbookViewId="0">
      <selection activeCell="K28" sqref="K28"/>
    </sheetView>
  </sheetViews>
  <sheetFormatPr defaultRowHeight="13.2"/>
  <cols>
    <col min="1" max="1" width="13.5546875" style="52" bestFit="1" customWidth="1"/>
    <col min="2" max="2" width="16.44140625" style="52" bestFit="1" customWidth="1"/>
    <col min="3" max="3" width="7.21875" style="52" bestFit="1" customWidth="1"/>
    <col min="4" max="4" width="16.21875" style="52" bestFit="1" customWidth="1"/>
    <col min="5" max="5" width="14.5546875" style="52" bestFit="1" customWidth="1"/>
    <col min="6" max="6" width="21.6640625" style="52" bestFit="1" customWidth="1"/>
    <col min="7" max="7" width="18.77734375" style="52" bestFit="1" customWidth="1"/>
    <col min="8" max="8" width="72.5546875" style="52" customWidth="1"/>
  </cols>
  <sheetData>
    <row r="3" spans="1:8" ht="13.8">
      <c r="A3" s="506" t="s">
        <v>2702</v>
      </c>
      <c r="B3" s="506"/>
      <c r="C3" s="506"/>
      <c r="D3" s="464"/>
    </row>
    <row r="4" spans="1:8">
      <c r="A4" s="51" t="s">
        <v>2696</v>
      </c>
      <c r="B4" s="51" t="s">
        <v>2697</v>
      </c>
      <c r="C4" s="51" t="s">
        <v>2698</v>
      </c>
      <c r="D4" s="51" t="s">
        <v>2705</v>
      </c>
      <c r="E4" s="51" t="s">
        <v>2703</v>
      </c>
      <c r="F4" s="51" t="s">
        <v>2699</v>
      </c>
      <c r="G4" s="51" t="s">
        <v>2700</v>
      </c>
      <c r="H4" s="51" t="s">
        <v>2706</v>
      </c>
    </row>
    <row r="5" spans="1:8">
      <c r="A5" s="462" t="s">
        <v>2704</v>
      </c>
      <c r="B5" s="462">
        <v>1560</v>
      </c>
      <c r="C5" s="462"/>
      <c r="D5" s="122" t="str" cm="1">
        <f t="array" ref="D5">FindRoomInTables(Room_Data_QC[[#This Row],[Room name]],Room_Data_QC[[#This Row],[Room Number ]])</f>
        <v>No</v>
      </c>
      <c r="E5" s="122" t="str" cm="1">
        <f t="array" ref="E5">FindRoomArea(Room_Data_QC[[#This Row],[Room name]],Room_Data_QC[[#This Row],[Room Number ]])</f>
        <v>Not Found</v>
      </c>
      <c r="F5" s="122" t="str" cm="1">
        <f t="array" ref="F5">CheckRoomDuplicates(Room_Data_QC[[#This Row],[Room name]],Room_Data_QC[[#This Row],[Room Number ]])</f>
        <v>No</v>
      </c>
      <c r="G5" s="122" t="str">
        <f>IFERROR(Room_Data_QC[[#This Row],[Area]]-Room_Data_QC[[#This Row],[Area In Excel]],"NOT FOUND")</f>
        <v>NOT FOUND</v>
      </c>
    </row>
    <row r="6" spans="1:8">
      <c r="A6" s="462" t="s">
        <v>2707</v>
      </c>
      <c r="B6" s="462">
        <v>1200</v>
      </c>
      <c r="C6" s="462"/>
      <c r="D6" s="122" t="str" cm="1">
        <f t="array" ref="D6">FindRoomInTables(Room_Data_QC[[#This Row],[Room name]],Room_Data_QC[[#This Row],[Room Number ]])</f>
        <v>No</v>
      </c>
      <c r="E6" s="122" t="str" cm="1">
        <f t="array" ref="E6">FindRoomArea(Room_Data_QC[[#This Row],[Room name]],Room_Data_QC[[#This Row],[Room Number ]])</f>
        <v>Not Found</v>
      </c>
      <c r="F6" s="122" t="str" cm="1">
        <f t="array" ref="F6">CheckRoomDuplicates(Room_Data_QC[[#This Row],[Room name]],Room_Data_QC[[#This Row],[Room Number ]])</f>
        <v>No</v>
      </c>
      <c r="G6" s="122" t="str">
        <f>IFERROR(Room_Data_QC[[#This Row],[Area]]-Room_Data_QC[[#This Row],[Area In Excel]],"NOT FOUND")</f>
        <v>NOT FOUND</v>
      </c>
    </row>
    <row r="7" spans="1:8">
      <c r="A7" s="462" t="s">
        <v>2707</v>
      </c>
      <c r="B7" s="462">
        <v>1200</v>
      </c>
      <c r="C7" s="462"/>
      <c r="D7" s="122" t="str" cm="1">
        <f t="array" ref="D7">FindRoomInTables(Room_Data_QC[[#This Row],[Room name]],Room_Data_QC[[#This Row],[Room Number ]])</f>
        <v>No</v>
      </c>
      <c r="E7" s="122" t="str" cm="1">
        <f t="array" ref="E7">FindRoomArea(Room_Data_QC[[#This Row],[Room name]],Room_Data_QC[[#This Row],[Room Number ]])</f>
        <v>Not Found</v>
      </c>
      <c r="F7" s="122" t="str" cm="1">
        <f t="array" ref="F7">CheckRoomDuplicates(Room_Data_QC[[#This Row],[Room name]],Room_Data_QC[[#This Row],[Room Number ]])</f>
        <v>No</v>
      </c>
      <c r="G7" s="122" t="str">
        <f>IFERROR(Room_Data_QC[[#This Row],[Area]]-Room_Data_QC[[#This Row],[Area In Excel]],"NOT FOUND")</f>
        <v>NOT FOUND</v>
      </c>
    </row>
    <row r="8" spans="1:8">
      <c r="A8" s="462"/>
      <c r="B8" s="462"/>
      <c r="C8" s="462"/>
      <c r="D8" s="122" t="str" cm="1">
        <f t="array" ref="D8">FindRoomInTables(Room_Data_QC[[#This Row],[Room name]],Room_Data_QC[[#This Row],[Room Number ]])</f>
        <v>No</v>
      </c>
      <c r="E8" s="122" t="str" cm="1">
        <f t="array" ref="E8">FindRoomArea(Room_Data_QC[[#This Row],[Room name]],Room_Data_QC[[#This Row],[Room Number ]])</f>
        <v>Not Found</v>
      </c>
      <c r="F8" s="122" t="str" cm="1">
        <f t="array" ref="F8">CheckRoomDuplicates(Room_Data_QC[[#This Row],[Room name]],Room_Data_QC[[#This Row],[Room Number ]])</f>
        <v>No</v>
      </c>
      <c r="G8" s="122" t="str">
        <f>IFERROR(Room_Data_QC[[#This Row],[Area]]-Room_Data_QC[[#This Row],[Area In Excel]],"NOT FOUND")</f>
        <v>NOT FOUND</v>
      </c>
    </row>
    <row r="9" spans="1:8">
      <c r="A9" s="462"/>
      <c r="B9" s="462"/>
      <c r="C9" s="462"/>
      <c r="D9" s="122" t="str" cm="1">
        <f t="array" ref="D9">FindRoomInTables(Room_Data_QC[[#This Row],[Room name]],Room_Data_QC[[#This Row],[Room Number ]])</f>
        <v>No</v>
      </c>
      <c r="E9" s="122" t="str" cm="1">
        <f t="array" ref="E9">FindRoomArea(Room_Data_QC[[#This Row],[Room name]],Room_Data_QC[[#This Row],[Room Number ]])</f>
        <v>Not Found</v>
      </c>
      <c r="F9" s="122" t="str" cm="1">
        <f t="array" ref="F9">CheckRoomDuplicates(Room_Data_QC[[#This Row],[Room name]],Room_Data_QC[[#This Row],[Room Number ]])</f>
        <v>No</v>
      </c>
      <c r="G9" s="122" t="str">
        <f>IFERROR(Room_Data_QC[[#This Row],[Area]]-Room_Data_QC[[#This Row],[Area In Excel]],"NOT FOUND")</f>
        <v>NOT FOUND</v>
      </c>
    </row>
    <row r="10" spans="1:8">
      <c r="A10" s="462"/>
      <c r="B10" s="462"/>
      <c r="C10" s="462"/>
      <c r="D10" s="122" t="str" cm="1">
        <f t="array" ref="D10">FindRoomInTables(Room_Data_QC[[#This Row],[Room name]],Room_Data_QC[[#This Row],[Room Number ]])</f>
        <v>No</v>
      </c>
      <c r="E10" s="122" t="str" cm="1">
        <f t="array" ref="E10">FindRoomArea(Room_Data_QC[[#This Row],[Room name]],Room_Data_QC[[#This Row],[Room Number ]])</f>
        <v>Not Found</v>
      </c>
      <c r="F10" s="122" t="str" cm="1">
        <f t="array" ref="F10">CheckRoomDuplicates(Room_Data_QC[[#This Row],[Room name]],Room_Data_QC[[#This Row],[Room Number ]])</f>
        <v>No</v>
      </c>
      <c r="G10" s="122" t="str">
        <f>IFERROR(Room_Data_QC[[#This Row],[Area]]-Room_Data_QC[[#This Row],[Area In Excel]],"NOT FOUND")</f>
        <v>NOT FOUND</v>
      </c>
    </row>
    <row r="11" spans="1:8">
      <c r="A11" s="462"/>
      <c r="B11" s="462"/>
      <c r="C11" s="462"/>
      <c r="D11" s="122" t="str" cm="1">
        <f t="array" ref="D11">FindRoomInTables(Room_Data_QC[[#This Row],[Room name]],Room_Data_QC[[#This Row],[Room Number ]])</f>
        <v>No</v>
      </c>
      <c r="E11" s="122" t="str" cm="1">
        <f t="array" ref="E11">FindRoomArea(Room_Data_QC[[#This Row],[Room name]],Room_Data_QC[[#This Row],[Room Number ]])</f>
        <v>Not Found</v>
      </c>
      <c r="F11" s="122" t="str" cm="1">
        <f t="array" ref="F11">CheckRoomDuplicates(Room_Data_QC[[#This Row],[Room name]],Room_Data_QC[[#This Row],[Room Number ]])</f>
        <v>No</v>
      </c>
      <c r="G11" s="122" t="str">
        <f>IFERROR(Room_Data_QC[[#This Row],[Area]]-Room_Data_QC[[#This Row],[Area In Excel]],"NOT FOUND")</f>
        <v>NOT FOUND</v>
      </c>
    </row>
    <row r="12" spans="1:8">
      <c r="A12" s="462"/>
      <c r="B12" s="462"/>
      <c r="C12" s="462"/>
      <c r="D12" s="122" t="str" cm="1">
        <f t="array" ref="D12">FindRoomInTables(Room_Data_QC[[#This Row],[Room name]],Room_Data_QC[[#This Row],[Room Number ]])</f>
        <v>No</v>
      </c>
      <c r="E12" s="122" t="str" cm="1">
        <f t="array" ref="E12">FindRoomArea(Room_Data_QC[[#This Row],[Room name]],Room_Data_QC[[#This Row],[Room Number ]])</f>
        <v>Not Found</v>
      </c>
      <c r="F12" s="122" t="str" cm="1">
        <f t="array" ref="F12">CheckRoomDuplicates(Room_Data_QC[[#This Row],[Room name]],Room_Data_QC[[#This Row],[Room Number ]])</f>
        <v>No</v>
      </c>
      <c r="G12" s="122" t="str">
        <f>IFERROR(Room_Data_QC[[#This Row],[Area]]-Room_Data_QC[[#This Row],[Area In Excel]],"NOT FOUND")</f>
        <v>NOT FOUND</v>
      </c>
    </row>
    <row r="13" spans="1:8">
      <c r="A13" s="462"/>
      <c r="B13" s="462"/>
      <c r="C13" s="462"/>
      <c r="D13" s="122" t="str" cm="1">
        <f t="array" ref="D13">FindRoomInTables(Room_Data_QC[[#This Row],[Room name]],Room_Data_QC[[#This Row],[Room Number ]])</f>
        <v>No</v>
      </c>
      <c r="E13" s="122" t="str" cm="1">
        <f t="array" ref="E13">FindRoomArea(Room_Data_QC[[#This Row],[Room name]],Room_Data_QC[[#This Row],[Room Number ]])</f>
        <v>Not Found</v>
      </c>
      <c r="F13" s="122" t="str" cm="1">
        <f t="array" ref="F13">CheckRoomDuplicates(Room_Data_QC[[#This Row],[Room name]],Room_Data_QC[[#This Row],[Room Number ]])</f>
        <v>No</v>
      </c>
      <c r="G13" s="122" t="str">
        <f>IFERROR(Room_Data_QC[[#This Row],[Area]]-Room_Data_QC[[#This Row],[Area In Excel]],"NOT FOUND")</f>
        <v>NOT FOUND</v>
      </c>
    </row>
    <row r="14" spans="1:8">
      <c r="A14" s="462"/>
      <c r="B14" s="462"/>
      <c r="C14" s="462"/>
      <c r="D14" s="122" t="str" cm="1">
        <f t="array" ref="D14">FindRoomInTables(Room_Data_QC[[#This Row],[Room name]],Room_Data_QC[[#This Row],[Room Number ]])</f>
        <v>No</v>
      </c>
      <c r="E14" s="122" t="str" cm="1">
        <f t="array" ref="E14">FindRoomArea(Room_Data_QC[[#This Row],[Room name]],Room_Data_QC[[#This Row],[Room Number ]])</f>
        <v>Not Found</v>
      </c>
      <c r="F14" s="122" t="str" cm="1">
        <f t="array" ref="F14">CheckRoomDuplicates(Room_Data_QC[[#This Row],[Room name]],Room_Data_QC[[#This Row],[Room Number ]])</f>
        <v>No</v>
      </c>
      <c r="G14" s="122" t="str">
        <f>IFERROR(Room_Data_QC[[#This Row],[Area]]-Room_Data_QC[[#This Row],[Area In Excel]],"NOT FOUND")</f>
        <v>NOT FOUND</v>
      </c>
    </row>
    <row r="15" spans="1:8">
      <c r="A15" s="462"/>
      <c r="B15" s="462"/>
      <c r="C15" s="462"/>
      <c r="D15" s="122" t="str" cm="1">
        <f t="array" ref="D15">FindRoomInTables(Room_Data_QC[[#This Row],[Room name]],Room_Data_QC[[#This Row],[Room Number ]])</f>
        <v>No</v>
      </c>
      <c r="E15" s="122" t="str" cm="1">
        <f t="array" ref="E15">FindRoomArea(Room_Data_QC[[#This Row],[Room name]],Room_Data_QC[[#This Row],[Room Number ]])</f>
        <v>Not Found</v>
      </c>
      <c r="F15" s="122" t="str" cm="1">
        <f t="array" ref="F15">CheckRoomDuplicates(Room_Data_QC[[#This Row],[Room name]],Room_Data_QC[[#This Row],[Room Number ]])</f>
        <v>No</v>
      </c>
      <c r="G15" s="122" t="str">
        <f>IFERROR(Room_Data_QC[[#This Row],[Area]]-Room_Data_QC[[#This Row],[Area In Excel]],"NOT FOUND")</f>
        <v>NOT FOUND</v>
      </c>
    </row>
    <row r="16" spans="1:8">
      <c r="A16" s="462"/>
      <c r="B16" s="462"/>
      <c r="C16" s="462"/>
      <c r="D16" s="122" t="str" cm="1">
        <f t="array" ref="D16">FindRoomInTables(Room_Data_QC[[#This Row],[Room name]],Room_Data_QC[[#This Row],[Room Number ]])</f>
        <v>No</v>
      </c>
      <c r="E16" s="122" t="str" cm="1">
        <f t="array" ref="E16">FindRoomArea(Room_Data_QC[[#This Row],[Room name]],Room_Data_QC[[#This Row],[Room Number ]])</f>
        <v>Not Found</v>
      </c>
      <c r="F16" s="122" t="str" cm="1">
        <f t="array" ref="F16">CheckRoomDuplicates(Room_Data_QC[[#This Row],[Room name]],Room_Data_QC[[#This Row],[Room Number ]])</f>
        <v>No</v>
      </c>
      <c r="G16" s="122" t="str">
        <f>IFERROR(Room_Data_QC[[#This Row],[Area]]-Room_Data_QC[[#This Row],[Area In Excel]],"NOT FOUND")</f>
        <v>NOT FOUND</v>
      </c>
    </row>
    <row r="17" spans="1:7">
      <c r="A17" s="462"/>
      <c r="B17" s="462"/>
      <c r="C17" s="462"/>
      <c r="D17" s="122" t="str" cm="1">
        <f t="array" ref="D17">FindRoomInTables(Room_Data_QC[[#This Row],[Room name]],Room_Data_QC[[#This Row],[Room Number ]])</f>
        <v>No</v>
      </c>
      <c r="E17" s="122" t="str" cm="1">
        <f t="array" ref="E17">FindRoomArea(Room_Data_QC[[#This Row],[Room name]],Room_Data_QC[[#This Row],[Room Number ]])</f>
        <v>Not Found</v>
      </c>
      <c r="F17" s="122" t="str" cm="1">
        <f t="array" ref="F17">CheckRoomDuplicates(Room_Data_QC[[#This Row],[Room name]],Room_Data_QC[[#This Row],[Room Number ]])</f>
        <v>No</v>
      </c>
      <c r="G17" s="122" t="str">
        <f>IFERROR(Room_Data_QC[[#This Row],[Area]]-Room_Data_QC[[#This Row],[Area In Excel]],"NOT FOUND")</f>
        <v>NOT FOUND</v>
      </c>
    </row>
    <row r="18" spans="1:7">
      <c r="A18" s="462"/>
      <c r="B18" s="462"/>
      <c r="C18" s="462"/>
      <c r="D18" s="122" t="str" cm="1">
        <f t="array" ref="D18">FindRoomInTables(Room_Data_QC[[#This Row],[Room name]],Room_Data_QC[[#This Row],[Room Number ]])</f>
        <v>No</v>
      </c>
      <c r="E18" s="122" t="str" cm="1">
        <f t="array" ref="E18">FindRoomArea(Room_Data_QC[[#This Row],[Room name]],Room_Data_QC[[#This Row],[Room Number ]])</f>
        <v>Not Found</v>
      </c>
      <c r="F18" s="122" t="str" cm="1">
        <f t="array" ref="F18">CheckRoomDuplicates(Room_Data_QC[[#This Row],[Room name]],Room_Data_QC[[#This Row],[Room Number ]])</f>
        <v>No</v>
      </c>
      <c r="G18" s="122" t="str">
        <f>IFERROR(Room_Data_QC[[#This Row],[Area]]-Room_Data_QC[[#This Row],[Area In Excel]],"NOT FOUND")</f>
        <v>NOT FOUND</v>
      </c>
    </row>
    <row r="19" spans="1:7">
      <c r="A19" s="462"/>
      <c r="B19" s="462"/>
      <c r="C19" s="462"/>
      <c r="D19" s="122" t="str" cm="1">
        <f t="array" ref="D19">FindRoomInTables(Room_Data_QC[[#This Row],[Room name]],Room_Data_QC[[#This Row],[Room Number ]])</f>
        <v>No</v>
      </c>
      <c r="E19" s="122" t="str" cm="1">
        <f t="array" ref="E19">FindRoomArea(Room_Data_QC[[#This Row],[Room name]],Room_Data_QC[[#This Row],[Room Number ]])</f>
        <v>Not Found</v>
      </c>
      <c r="F19" s="122" t="str" cm="1">
        <f t="array" ref="F19">CheckRoomDuplicates(Room_Data_QC[[#This Row],[Room name]],Room_Data_QC[[#This Row],[Room Number ]])</f>
        <v>No</v>
      </c>
      <c r="G19" s="122" t="str">
        <f>IFERROR(Room_Data_QC[[#This Row],[Area]]-Room_Data_QC[[#This Row],[Area In Excel]],"NOT FOUND")</f>
        <v>NOT FOUND</v>
      </c>
    </row>
    <row r="20" spans="1:7">
      <c r="A20" s="462"/>
      <c r="B20" s="462"/>
      <c r="C20" s="462"/>
      <c r="D20" s="122" t="str" cm="1">
        <f t="array" ref="D20">FindRoomInTables(Room_Data_QC[[#This Row],[Room name]],Room_Data_QC[[#This Row],[Room Number ]])</f>
        <v>No</v>
      </c>
      <c r="E20" s="122" t="str" cm="1">
        <f t="array" ref="E20">FindRoomArea(Room_Data_QC[[#This Row],[Room name]],Room_Data_QC[[#This Row],[Room Number ]])</f>
        <v>Not Found</v>
      </c>
      <c r="F20" s="122" t="str" cm="1">
        <f t="array" ref="F20">CheckRoomDuplicates(Room_Data_QC[[#This Row],[Room name]],Room_Data_QC[[#This Row],[Room Number ]])</f>
        <v>No</v>
      </c>
      <c r="G20" s="122" t="str">
        <f>IFERROR(Room_Data_QC[[#This Row],[Area]]-Room_Data_QC[[#This Row],[Area In Excel]],"NOT FOUND")</f>
        <v>NOT FOUND</v>
      </c>
    </row>
    <row r="21" spans="1:7">
      <c r="A21" s="462"/>
      <c r="B21" s="462"/>
      <c r="C21" s="462"/>
      <c r="D21" s="122" t="str" cm="1">
        <f t="array" ref="D21">FindRoomInTables(Room_Data_QC[[#This Row],[Room name]],Room_Data_QC[[#This Row],[Room Number ]])</f>
        <v>No</v>
      </c>
      <c r="E21" s="122" t="str" cm="1">
        <f t="array" ref="E21">FindRoomArea(Room_Data_QC[[#This Row],[Room name]],Room_Data_QC[[#This Row],[Room Number ]])</f>
        <v>Not Found</v>
      </c>
      <c r="F21" s="122" t="str" cm="1">
        <f t="array" ref="F21">CheckRoomDuplicates(Room_Data_QC[[#This Row],[Room name]],Room_Data_QC[[#This Row],[Room Number ]])</f>
        <v>No</v>
      </c>
      <c r="G21" s="122" t="str">
        <f>IFERROR(Room_Data_QC[[#This Row],[Area]]-Room_Data_QC[[#This Row],[Area In Excel]],"NOT FOUND")</f>
        <v>NOT FOUND</v>
      </c>
    </row>
    <row r="22" spans="1:7">
      <c r="A22" s="462"/>
      <c r="B22" s="462"/>
      <c r="C22" s="462"/>
      <c r="D22" s="122" t="str" cm="1">
        <f t="array" ref="D22">FindRoomInTables(Room_Data_QC[[#This Row],[Room name]],Room_Data_QC[[#This Row],[Room Number ]])</f>
        <v>No</v>
      </c>
      <c r="E22" s="122" t="str" cm="1">
        <f t="array" ref="E22">FindRoomArea(Room_Data_QC[[#This Row],[Room name]],Room_Data_QC[[#This Row],[Room Number ]])</f>
        <v>Not Found</v>
      </c>
      <c r="F22" s="122" t="str" cm="1">
        <f t="array" ref="F22">CheckRoomDuplicates(Room_Data_QC[[#This Row],[Room name]],Room_Data_QC[[#This Row],[Room Number ]])</f>
        <v>No</v>
      </c>
      <c r="G22" s="122" t="str">
        <f>IFERROR(Room_Data_QC[[#This Row],[Area]]-Room_Data_QC[[#This Row],[Area In Excel]],"NOT FOUND")</f>
        <v>NOT FOUND</v>
      </c>
    </row>
    <row r="23" spans="1:7">
      <c r="A23" s="462"/>
      <c r="B23" s="462"/>
      <c r="C23" s="462"/>
      <c r="D23" s="122" t="str" cm="1">
        <f t="array" ref="D23">FindRoomInTables(Room_Data_QC[[#This Row],[Room name]],Room_Data_QC[[#This Row],[Room Number ]])</f>
        <v>No</v>
      </c>
      <c r="E23" s="122" t="str" cm="1">
        <f t="array" ref="E23">FindRoomArea(Room_Data_QC[[#This Row],[Room name]],Room_Data_QC[[#This Row],[Room Number ]])</f>
        <v>Not Found</v>
      </c>
      <c r="F23" s="122" t="str" cm="1">
        <f t="array" ref="F23">CheckRoomDuplicates(Room_Data_QC[[#This Row],[Room name]],Room_Data_QC[[#This Row],[Room Number ]])</f>
        <v>No</v>
      </c>
      <c r="G23" s="122" t="str">
        <f>IFERROR(Room_Data_QC[[#This Row],[Area]]-Room_Data_QC[[#This Row],[Area In Excel]],"NOT FOUND")</f>
        <v>NOT FOUND</v>
      </c>
    </row>
    <row r="24" spans="1:7">
      <c r="A24" s="462"/>
      <c r="B24" s="462"/>
      <c r="C24" s="462"/>
      <c r="D24" s="122" t="str" cm="1">
        <f t="array" ref="D24">FindRoomInTables(Room_Data_QC[[#This Row],[Room name]],Room_Data_QC[[#This Row],[Room Number ]])</f>
        <v>No</v>
      </c>
      <c r="E24" s="122" t="str" cm="1">
        <f t="array" ref="E24">FindRoomArea(Room_Data_QC[[#This Row],[Room name]],Room_Data_QC[[#This Row],[Room Number ]])</f>
        <v>Not Found</v>
      </c>
      <c r="F24" s="122" t="str" cm="1">
        <f t="array" ref="F24">CheckRoomDuplicates(Room_Data_QC[[#This Row],[Room name]],Room_Data_QC[[#This Row],[Room Number ]])</f>
        <v>No</v>
      </c>
      <c r="G24" s="122" t="str">
        <f>IFERROR(Room_Data_QC[[#This Row],[Area]]-Room_Data_QC[[#This Row],[Area In Excel]],"NOT FOUND")</f>
        <v>NOT FOUND</v>
      </c>
    </row>
    <row r="25" spans="1:7">
      <c r="A25" s="462"/>
      <c r="B25" s="462"/>
      <c r="C25" s="462"/>
      <c r="D25" s="122" t="str" cm="1">
        <f t="array" ref="D25">FindRoomInTables(Room_Data_QC[[#This Row],[Room name]],Room_Data_QC[[#This Row],[Room Number ]])</f>
        <v>No</v>
      </c>
      <c r="E25" s="122" t="str" cm="1">
        <f t="array" ref="E25">FindRoomArea(Room_Data_QC[[#This Row],[Room name]],Room_Data_QC[[#This Row],[Room Number ]])</f>
        <v>Not Found</v>
      </c>
      <c r="F25" s="122" t="str" cm="1">
        <f t="array" ref="F25">CheckRoomDuplicates(Room_Data_QC[[#This Row],[Room name]],Room_Data_QC[[#This Row],[Room Number ]])</f>
        <v>No</v>
      </c>
      <c r="G25" s="122" t="str">
        <f>IFERROR(Room_Data_QC[[#This Row],[Area]]-Room_Data_QC[[#This Row],[Area In Excel]],"NOT FOUND")</f>
        <v>NOT FOUND</v>
      </c>
    </row>
    <row r="26" spans="1:7">
      <c r="A26" s="462"/>
      <c r="B26" s="462"/>
      <c r="C26" s="462"/>
      <c r="D26" s="122" t="str" cm="1">
        <f t="array" ref="D26">FindRoomInTables(Room_Data_QC[[#This Row],[Room name]],Room_Data_QC[[#This Row],[Room Number ]])</f>
        <v>No</v>
      </c>
      <c r="E26" s="122" t="str" cm="1">
        <f t="array" ref="E26">FindRoomArea(Room_Data_QC[[#This Row],[Room name]],Room_Data_QC[[#This Row],[Room Number ]])</f>
        <v>Not Found</v>
      </c>
      <c r="F26" s="122" t="str" cm="1">
        <f t="array" ref="F26">CheckRoomDuplicates(Room_Data_QC[[#This Row],[Room name]],Room_Data_QC[[#This Row],[Room Number ]])</f>
        <v>No</v>
      </c>
      <c r="G26" s="122" t="str">
        <f>IFERROR(Room_Data_QC[[#This Row],[Area]]-Room_Data_QC[[#This Row],[Area In Excel]],"NOT FOUND")</f>
        <v>NOT FOUND</v>
      </c>
    </row>
    <row r="27" spans="1:7">
      <c r="A27" s="462"/>
      <c r="B27" s="462"/>
      <c r="C27" s="462"/>
      <c r="D27" s="122" t="str" cm="1">
        <f t="array" ref="D27">FindRoomInTables(Room_Data_QC[[#This Row],[Room name]],Room_Data_QC[[#This Row],[Room Number ]])</f>
        <v>No</v>
      </c>
      <c r="E27" s="122" t="str" cm="1">
        <f t="array" ref="E27">FindRoomArea(Room_Data_QC[[#This Row],[Room name]],Room_Data_QC[[#This Row],[Room Number ]])</f>
        <v>Not Found</v>
      </c>
      <c r="F27" s="122" t="str" cm="1">
        <f t="array" ref="F27">CheckRoomDuplicates(Room_Data_QC[[#This Row],[Room name]],Room_Data_QC[[#This Row],[Room Number ]])</f>
        <v>No</v>
      </c>
      <c r="G27" s="122" t="str">
        <f>IFERROR(Room_Data_QC[[#This Row],[Area]]-Room_Data_QC[[#This Row],[Area In Excel]],"NOT FOUND")</f>
        <v>NOT FOUND</v>
      </c>
    </row>
    <row r="28" spans="1:7">
      <c r="A28" s="462"/>
      <c r="B28" s="462"/>
      <c r="C28" s="462"/>
      <c r="D28" s="122" t="str" cm="1">
        <f t="array" ref="D28">FindRoomInTables(Room_Data_QC[[#This Row],[Room name]],Room_Data_QC[[#This Row],[Room Number ]])</f>
        <v>No</v>
      </c>
      <c r="E28" s="122" t="str" cm="1">
        <f t="array" ref="E28">FindRoomArea(Room_Data_QC[[#This Row],[Room name]],Room_Data_QC[[#This Row],[Room Number ]])</f>
        <v>Not Found</v>
      </c>
      <c r="F28" s="122" t="str" cm="1">
        <f t="array" ref="F28">CheckRoomDuplicates(Room_Data_QC[[#This Row],[Room name]],Room_Data_QC[[#This Row],[Room Number ]])</f>
        <v>No</v>
      </c>
      <c r="G28" s="122" t="str">
        <f>IFERROR(Room_Data_QC[[#This Row],[Area]]-Room_Data_QC[[#This Row],[Area In Excel]],"NOT FOUND")</f>
        <v>NOT FOUND</v>
      </c>
    </row>
    <row r="29" spans="1:7">
      <c r="A29" s="462"/>
      <c r="B29" s="462"/>
      <c r="C29" s="462"/>
      <c r="D29" s="122" t="str" cm="1">
        <f t="array" ref="D29">FindRoomInTables(Room_Data_QC[[#This Row],[Room name]],Room_Data_QC[[#This Row],[Room Number ]])</f>
        <v>No</v>
      </c>
      <c r="E29" s="122" t="str" cm="1">
        <f t="array" ref="E29">FindRoomArea(Room_Data_QC[[#This Row],[Room name]],Room_Data_QC[[#This Row],[Room Number ]])</f>
        <v>Not Found</v>
      </c>
      <c r="F29" s="122" t="str" cm="1">
        <f t="array" ref="F29">CheckRoomDuplicates(Room_Data_QC[[#This Row],[Room name]],Room_Data_QC[[#This Row],[Room Number ]])</f>
        <v>No</v>
      </c>
      <c r="G29" s="122" t="str">
        <f>IFERROR(Room_Data_QC[[#This Row],[Area]]-Room_Data_QC[[#This Row],[Area In Excel]],"NOT FOUND")</f>
        <v>NOT FOUND</v>
      </c>
    </row>
    <row r="30" spans="1:7">
      <c r="A30" s="462"/>
      <c r="B30" s="462"/>
      <c r="C30" s="462"/>
      <c r="D30" s="122" t="str" cm="1">
        <f t="array" ref="D30">FindRoomInTables(Room_Data_QC[[#This Row],[Room name]],Room_Data_QC[[#This Row],[Room Number ]])</f>
        <v>No</v>
      </c>
      <c r="E30" s="122" t="str" cm="1">
        <f t="array" ref="E30">FindRoomArea(Room_Data_QC[[#This Row],[Room name]],Room_Data_QC[[#This Row],[Room Number ]])</f>
        <v>Not Found</v>
      </c>
      <c r="F30" s="122" t="str" cm="1">
        <f t="array" ref="F30">CheckRoomDuplicates(Room_Data_QC[[#This Row],[Room name]],Room_Data_QC[[#This Row],[Room Number ]])</f>
        <v>No</v>
      </c>
      <c r="G30" s="122" t="str">
        <f>IFERROR(Room_Data_QC[[#This Row],[Area]]-Room_Data_QC[[#This Row],[Area In Excel]],"NOT FOUND")</f>
        <v>NOT FOUND</v>
      </c>
    </row>
    <row r="31" spans="1:7">
      <c r="A31" s="462"/>
      <c r="B31" s="462"/>
      <c r="C31" s="462"/>
      <c r="D31" s="122" t="str" cm="1">
        <f t="array" ref="D31">FindRoomInTables(Room_Data_QC[[#This Row],[Room name]],Room_Data_QC[[#This Row],[Room Number ]])</f>
        <v>No</v>
      </c>
      <c r="E31" s="122" t="str" cm="1">
        <f t="array" ref="E31">FindRoomArea(Room_Data_QC[[#This Row],[Room name]],Room_Data_QC[[#This Row],[Room Number ]])</f>
        <v>Not Found</v>
      </c>
      <c r="F31" s="122" t="str" cm="1">
        <f t="array" ref="F31">CheckRoomDuplicates(Room_Data_QC[[#This Row],[Room name]],Room_Data_QC[[#This Row],[Room Number ]])</f>
        <v>No</v>
      </c>
      <c r="G31" s="122" t="str">
        <f>IFERROR(Room_Data_QC[[#This Row],[Area]]-Room_Data_QC[[#This Row],[Area In Excel]],"NOT FOUND")</f>
        <v>NOT FOUND</v>
      </c>
    </row>
    <row r="32" spans="1:7">
      <c r="A32" s="462"/>
      <c r="B32" s="462"/>
      <c r="C32" s="462"/>
      <c r="D32" s="122" t="str" cm="1">
        <f t="array" ref="D32">FindRoomInTables(Room_Data_QC[[#This Row],[Room name]],Room_Data_QC[[#This Row],[Room Number ]])</f>
        <v>No</v>
      </c>
      <c r="E32" s="122" t="str" cm="1">
        <f t="array" ref="E32">FindRoomArea(Room_Data_QC[[#This Row],[Room name]],Room_Data_QC[[#This Row],[Room Number ]])</f>
        <v>Not Found</v>
      </c>
      <c r="F32" s="122" t="str" cm="1">
        <f t="array" ref="F32">CheckRoomDuplicates(Room_Data_QC[[#This Row],[Room name]],Room_Data_QC[[#This Row],[Room Number ]])</f>
        <v>No</v>
      </c>
      <c r="G32" s="122" t="str">
        <f>IFERROR(Room_Data_QC[[#This Row],[Area]]-Room_Data_QC[[#This Row],[Area In Excel]],"NOT FOUND")</f>
        <v>NOT FOUND</v>
      </c>
    </row>
    <row r="33" spans="1:8">
      <c r="A33" s="462"/>
      <c r="B33" s="462"/>
      <c r="C33" s="462"/>
      <c r="D33" s="122" t="str" cm="1">
        <f t="array" ref="D33">FindRoomInTables(Room_Data_QC[[#This Row],[Room name]],Room_Data_QC[[#This Row],[Room Number ]])</f>
        <v>No</v>
      </c>
      <c r="E33" s="122" t="str" cm="1">
        <f t="array" ref="E33">FindRoomArea(Room_Data_QC[[#This Row],[Room name]],Room_Data_QC[[#This Row],[Room Number ]])</f>
        <v>Not Found</v>
      </c>
      <c r="F33" s="122" t="str" cm="1">
        <f t="array" ref="F33">CheckRoomDuplicates(Room_Data_QC[[#This Row],[Room name]],Room_Data_QC[[#This Row],[Room Number ]])</f>
        <v>No</v>
      </c>
      <c r="G33" s="122" t="str">
        <f>IFERROR(Room_Data_QC[[#This Row],[Area]]-Room_Data_QC[[#This Row],[Area In Excel]],"NOT FOUND")</f>
        <v>NOT FOUND</v>
      </c>
    </row>
    <row r="34" spans="1:8">
      <c r="A34" s="462"/>
      <c r="B34" s="462"/>
      <c r="C34" s="462"/>
      <c r="D34" s="122" t="str" cm="1">
        <f t="array" ref="D34">FindRoomInTables(Room_Data_QC[[#This Row],[Room name]],Room_Data_QC[[#This Row],[Room Number ]])</f>
        <v>No</v>
      </c>
      <c r="E34" s="122" t="str" cm="1">
        <f t="array" ref="E34">FindRoomArea(Room_Data_QC[[#This Row],[Room name]],Room_Data_QC[[#This Row],[Room Number ]])</f>
        <v>Not Found</v>
      </c>
      <c r="F34" s="122" t="str" cm="1">
        <f t="array" ref="F34">CheckRoomDuplicates(Room_Data_QC[[#This Row],[Room name]],Room_Data_QC[[#This Row],[Room Number ]])</f>
        <v>No</v>
      </c>
      <c r="G34" s="122" t="str">
        <f>IFERROR(Room_Data_QC[[#This Row],[Area]]-Room_Data_QC[[#This Row],[Area In Excel]],"NOT FOUND")</f>
        <v>NOT FOUND</v>
      </c>
    </row>
    <row r="35" spans="1:8">
      <c r="A35" s="462"/>
      <c r="B35" s="462"/>
      <c r="C35" s="462"/>
      <c r="D35" s="122" t="str" cm="1">
        <f t="array" ref="D35">FindRoomInTables(Room_Data_QC[[#This Row],[Room name]],Room_Data_QC[[#This Row],[Room Number ]])</f>
        <v>No</v>
      </c>
      <c r="E35" s="122" t="str" cm="1">
        <f t="array" ref="E35">FindRoomArea(Room_Data_QC[[#This Row],[Room name]],Room_Data_QC[[#This Row],[Room Number ]])</f>
        <v>Not Found</v>
      </c>
      <c r="F35" s="122" t="str" cm="1">
        <f t="array" ref="F35">CheckRoomDuplicates(Room_Data_QC[[#This Row],[Room name]],Room_Data_QC[[#This Row],[Room Number ]])</f>
        <v>No</v>
      </c>
      <c r="G35" s="122" t="str">
        <f>IFERROR(Room_Data_QC[[#This Row],[Area]]-Room_Data_QC[[#This Row],[Area In Excel]],"NOT FOUND")</f>
        <v>NOT FOUND</v>
      </c>
    </row>
    <row r="36" spans="1:8">
      <c r="A36" s="462"/>
      <c r="B36" s="462"/>
      <c r="C36" s="462"/>
      <c r="D36" s="122" t="str" cm="1">
        <f t="array" ref="D36">FindRoomInTables(Room_Data_QC[[#This Row],[Room name]],Room_Data_QC[[#This Row],[Room Number ]])</f>
        <v>No</v>
      </c>
      <c r="E36" s="122" t="str" cm="1">
        <f t="array" ref="E36">FindRoomArea(Room_Data_QC[[#This Row],[Room name]],Room_Data_QC[[#This Row],[Room Number ]])</f>
        <v>Not Found</v>
      </c>
      <c r="F36" s="122" t="str" cm="1">
        <f t="array" ref="F36">CheckRoomDuplicates(Room_Data_QC[[#This Row],[Room name]],Room_Data_QC[[#This Row],[Room Number ]])</f>
        <v>No</v>
      </c>
      <c r="G36" s="122" t="str">
        <f>IFERROR(Room_Data_QC[[#This Row],[Area]]-Room_Data_QC[[#This Row],[Area In Excel]],"NOT FOUND")</f>
        <v>NOT FOUND</v>
      </c>
    </row>
    <row r="37" spans="1:8">
      <c r="A37" s="462"/>
      <c r="B37" s="462"/>
      <c r="C37" s="462"/>
      <c r="D37" s="122" t="str" cm="1">
        <f t="array" ref="D37">FindRoomInTables(Room_Data_QC[[#This Row],[Room name]],Room_Data_QC[[#This Row],[Room Number ]])</f>
        <v>No</v>
      </c>
      <c r="E37" s="122" t="str" cm="1">
        <f t="array" ref="E37">FindRoomArea(Room_Data_QC[[#This Row],[Room name]],Room_Data_QC[[#This Row],[Room Number ]])</f>
        <v>Not Found</v>
      </c>
      <c r="F37" s="122" t="str" cm="1">
        <f t="array" ref="F37">CheckRoomDuplicates(Room_Data_QC[[#This Row],[Room name]],Room_Data_QC[[#This Row],[Room Number ]])</f>
        <v>No</v>
      </c>
      <c r="G37" s="122" t="str">
        <f>IFERROR(Room_Data_QC[[#This Row],[Area]]-Room_Data_QC[[#This Row],[Area In Excel]],"NOT FOUND")</f>
        <v>NOT FOUND</v>
      </c>
    </row>
    <row r="38" spans="1:8">
      <c r="A38" s="462"/>
      <c r="B38" s="462"/>
      <c r="C38" s="462"/>
      <c r="D38" s="122" t="str" cm="1">
        <f t="array" ref="D38">FindRoomInTables(Room_Data_QC[[#This Row],[Room name]],Room_Data_QC[[#This Row],[Room Number ]])</f>
        <v>No</v>
      </c>
      <c r="E38" s="122" t="str" cm="1">
        <f t="array" ref="E38">FindRoomArea(Room_Data_QC[[#This Row],[Room name]],Room_Data_QC[[#This Row],[Room Number ]])</f>
        <v>Not Found</v>
      </c>
      <c r="F38" s="122" t="str" cm="1">
        <f t="array" ref="F38">CheckRoomDuplicates(Room_Data_QC[[#This Row],[Room name]],Room_Data_QC[[#This Row],[Room Number ]])</f>
        <v>No</v>
      </c>
      <c r="G38" s="122" t="str">
        <f>IFERROR(Room_Data_QC[[#This Row],[Area]]-Room_Data_QC[[#This Row],[Area In Excel]],"NOT FOUND")</f>
        <v>NOT FOUND</v>
      </c>
    </row>
    <row r="39" spans="1:8">
      <c r="A39" s="462"/>
      <c r="B39" s="462"/>
      <c r="C39" s="462"/>
      <c r="D39" s="122" t="str" cm="1">
        <f t="array" ref="D39">FindRoomInTables(Room_Data_QC[[#This Row],[Room name]],Room_Data_QC[[#This Row],[Room Number ]])</f>
        <v>No</v>
      </c>
      <c r="E39" s="122" t="str" cm="1">
        <f t="array" ref="E39">FindRoomArea(Room_Data_QC[[#This Row],[Room name]],Room_Data_QC[[#This Row],[Room Number ]])</f>
        <v>Not Found</v>
      </c>
      <c r="F39" s="122" t="str" cm="1">
        <f t="array" ref="F39">CheckRoomDuplicates(Room_Data_QC[[#This Row],[Room name]],Room_Data_QC[[#This Row],[Room Number ]])</f>
        <v>No</v>
      </c>
      <c r="G39" s="122" t="str">
        <f>IFERROR(Room_Data_QC[[#This Row],[Area]]-Room_Data_QC[[#This Row],[Area In Excel]],"NOT FOUND")</f>
        <v>NOT FOUND</v>
      </c>
    </row>
    <row r="40" spans="1:8">
      <c r="A40" s="462"/>
      <c r="B40" s="462"/>
      <c r="C40" s="462"/>
      <c r="D40" s="122" t="str" cm="1">
        <f t="array" ref="D40">FindRoomInTables(Room_Data_QC[[#This Row],[Room name]],Room_Data_QC[[#This Row],[Room Number ]])</f>
        <v>No</v>
      </c>
      <c r="E40" s="122" t="str" cm="1">
        <f t="array" ref="E40">FindRoomArea(Room_Data_QC[[#This Row],[Room name]],Room_Data_QC[[#This Row],[Room Number ]])</f>
        <v>Not Found</v>
      </c>
      <c r="F40" s="122" t="str" cm="1">
        <f t="array" ref="F40">CheckRoomDuplicates(Room_Data_QC[[#This Row],[Room name]],Room_Data_QC[[#This Row],[Room Number ]])</f>
        <v>No</v>
      </c>
      <c r="G40" s="122" t="str">
        <f>IFERROR(Room_Data_QC[[#This Row],[Area]]-Room_Data_QC[[#This Row],[Area In Excel]],"NOT FOUND")</f>
        <v>NOT FOUND</v>
      </c>
    </row>
    <row r="41" spans="1:8">
      <c r="A41" s="462"/>
      <c r="B41" s="462"/>
      <c r="C41" s="462"/>
      <c r="D41" s="122" t="str" cm="1">
        <f t="array" ref="D41">FindRoomInTables(Room_Data_QC[[#This Row],[Room name]],Room_Data_QC[[#This Row],[Room Number ]])</f>
        <v>No</v>
      </c>
      <c r="E41" s="122" t="str" cm="1">
        <f t="array" ref="E41">FindRoomArea(Room_Data_QC[[#This Row],[Room name]],Room_Data_QC[[#This Row],[Room Number ]])</f>
        <v>Not Found</v>
      </c>
      <c r="F41" s="122" t="str" cm="1">
        <f t="array" ref="F41">CheckRoomDuplicates(Room_Data_QC[[#This Row],[Room name]],Room_Data_QC[[#This Row],[Room Number ]])</f>
        <v>No</v>
      </c>
      <c r="G41" s="122" t="str">
        <f>IFERROR(Room_Data_QC[[#This Row],[Area]]-Room_Data_QC[[#This Row],[Area In Excel]],"NOT FOUND")</f>
        <v>NOT FOUND</v>
      </c>
    </row>
    <row r="42" spans="1:8">
      <c r="A42" s="462"/>
      <c r="B42" s="462"/>
      <c r="C42" s="462"/>
      <c r="D42" s="122" t="str" cm="1">
        <f t="array" ref="D42">FindRoomInTables(Room_Data_QC[[#This Row],[Room name]],Room_Data_QC[[#This Row],[Room Number ]])</f>
        <v>No</v>
      </c>
      <c r="E42" s="122" t="str" cm="1">
        <f t="array" ref="E42">FindRoomArea(Room_Data_QC[[#This Row],[Room name]],Room_Data_QC[[#This Row],[Room Number ]])</f>
        <v>Not Found</v>
      </c>
      <c r="F42" s="122" t="str" cm="1">
        <f t="array" ref="F42">CheckRoomDuplicates(Room_Data_QC[[#This Row],[Room name]],Room_Data_QC[[#This Row],[Room Number ]])</f>
        <v>No</v>
      </c>
      <c r="G42" s="122" t="str">
        <f>IFERROR(Room_Data_QC[[#This Row],[Area]]-Room_Data_QC[[#This Row],[Area In Excel]],"NOT FOUND")</f>
        <v>NOT FOUND</v>
      </c>
    </row>
    <row r="43" spans="1:8">
      <c r="A43" s="462"/>
      <c r="B43" s="462"/>
      <c r="C43" s="462"/>
      <c r="D43" s="122" t="str" cm="1">
        <f t="array" ref="D43">FindRoomInTables(Room_Data_QC[[#This Row],[Room name]],Room_Data_QC[[#This Row],[Room Number ]])</f>
        <v>No</v>
      </c>
      <c r="E43" s="122" t="str" cm="1">
        <f t="array" ref="E43">FindRoomArea(Room_Data_QC[[#This Row],[Room name]],Room_Data_QC[[#This Row],[Room Number ]])</f>
        <v>Not Found</v>
      </c>
      <c r="F43" s="122" t="str" cm="1">
        <f t="array" ref="F43">CheckRoomDuplicates(Room_Data_QC[[#This Row],[Room name]],Room_Data_QC[[#This Row],[Room Number ]])</f>
        <v>No</v>
      </c>
      <c r="G43" s="122" t="str">
        <f>IFERROR(Room_Data_QC[[#This Row],[Area]]-Room_Data_QC[[#This Row],[Area In Excel]],"NOT FOUND")</f>
        <v>NOT FOUND</v>
      </c>
    </row>
    <row r="44" spans="1:8">
      <c r="A44" s="462"/>
      <c r="B44" s="462"/>
      <c r="C44" s="462"/>
      <c r="D44" s="122" t="str" cm="1">
        <f t="array" ref="D44">FindRoomInTables(Room_Data_QC[[#This Row],[Room name]],Room_Data_QC[[#This Row],[Room Number ]])</f>
        <v>No</v>
      </c>
      <c r="E44" s="122" t="str" cm="1">
        <f t="array" ref="E44">FindRoomArea(Room_Data_QC[[#This Row],[Room name]],Room_Data_QC[[#This Row],[Room Number ]])</f>
        <v>Not Found</v>
      </c>
      <c r="F44" s="122" t="str" cm="1">
        <f t="array" ref="F44">CheckRoomDuplicates(Room_Data_QC[[#This Row],[Room name]],Room_Data_QC[[#This Row],[Room Number ]])</f>
        <v>No</v>
      </c>
      <c r="G44" s="122" t="str">
        <f>IFERROR(Room_Data_QC[[#This Row],[Area]]-Room_Data_QC[[#This Row],[Area In Excel]],"NOT FOUND")</f>
        <v>NOT FOUND</v>
      </c>
    </row>
    <row r="45" spans="1:8">
      <c r="A45" s="462"/>
      <c r="B45" s="462"/>
      <c r="C45" s="462"/>
      <c r="D45" s="122" t="str" cm="1">
        <f t="array" ref="D45">FindRoomInTables(Room_Data_QC[[#This Row],[Room name]],Room_Data_QC[[#This Row],[Room Number ]])</f>
        <v>No</v>
      </c>
      <c r="E45" s="122" t="str" cm="1">
        <f t="array" ref="E45">FindRoomArea(Room_Data_QC[[#This Row],[Room name]],Room_Data_QC[[#This Row],[Room Number ]])</f>
        <v>Not Found</v>
      </c>
      <c r="F45" s="122" t="str" cm="1">
        <f t="array" ref="F45">CheckRoomDuplicates(Room_Data_QC[[#This Row],[Room name]],Room_Data_QC[[#This Row],[Room Number ]])</f>
        <v>No</v>
      </c>
      <c r="G45" s="122" t="str">
        <f>IFERROR(Room_Data_QC[[#This Row],[Area]]-Room_Data_QC[[#This Row],[Area In Excel]],"NOT FOUND")</f>
        <v>NOT FOUND</v>
      </c>
    </row>
    <row r="46" spans="1:8">
      <c r="A46" s="462"/>
      <c r="B46" s="462"/>
      <c r="C46" s="462"/>
      <c r="D46" s="122" t="str" cm="1">
        <f t="array" ref="D46">FindRoomInTables(Room_Data_QC[[#This Row],[Room name]],Room_Data_QC[[#This Row],[Room Number ]])</f>
        <v>No</v>
      </c>
      <c r="E46" s="122" t="str" cm="1">
        <f t="array" ref="E46">FindRoomArea(Room_Data_QC[[#This Row],[Room name]],Room_Data_QC[[#This Row],[Room Number ]])</f>
        <v>Not Found</v>
      </c>
      <c r="F46" s="122" t="str" cm="1">
        <f t="array" ref="F46">CheckRoomDuplicates(Room_Data_QC[[#This Row],[Room name]],Room_Data_QC[[#This Row],[Room Number ]])</f>
        <v>No</v>
      </c>
      <c r="G46" s="122" t="str">
        <f>IFERROR(Room_Data_QC[[#This Row],[Area]]-Room_Data_QC[[#This Row],[Area In Excel]],"NOT FOUND")</f>
        <v>NOT FOUND</v>
      </c>
    </row>
    <row r="47" spans="1:8">
      <c r="A47" s="462"/>
      <c r="B47" s="462"/>
      <c r="C47" s="462"/>
      <c r="D47" s="122" t="str" cm="1">
        <f t="array" ref="D47">FindRoomInTables(Room_Data_QC[[#This Row],[Room name]],Room_Data_QC[[#This Row],[Room Number ]])</f>
        <v>No</v>
      </c>
      <c r="E47" s="122" t="str" cm="1">
        <f t="array" ref="E47">FindRoomArea(Room_Data_QC[[#This Row],[Room name]],Room_Data_QC[[#This Row],[Room Number ]])</f>
        <v>Not Found</v>
      </c>
      <c r="F47" s="122" t="str" cm="1">
        <f t="array" ref="F47">CheckRoomDuplicates(Room_Data_QC[[#This Row],[Room name]],Room_Data_QC[[#This Row],[Room Number ]])</f>
        <v>No</v>
      </c>
      <c r="G47" s="122" t="str">
        <f>IFERROR(Room_Data_QC[[#This Row],[Area]]-Room_Data_QC[[#This Row],[Area In Excel]],"NOT FOUND")</f>
        <v>NOT FOUND</v>
      </c>
    </row>
    <row r="48" spans="1:8">
      <c r="A48" s="465" t="s">
        <v>74</v>
      </c>
      <c r="B48" s="465"/>
      <c r="C48" s="463"/>
      <c r="D48" s="466"/>
      <c r="E48" s="51">
        <f>SUBTOTAL(103,Room_Data_QC[Area In Excel])</f>
        <v>43</v>
      </c>
      <c r="F48" s="51"/>
      <c r="G48" s="467"/>
      <c r="H48" s="52">
        <f>SUBTOTAL(103,Room_Data_QC[Designer Notes])</f>
        <v>0</v>
      </c>
    </row>
  </sheetData>
  <mergeCells count="1">
    <mergeCell ref="A3:C3"/>
  </mergeCells>
  <conditionalFormatting sqref="D5:D47">
    <cfRule type="cellIs" dxfId="604" priority="5" operator="equal">
      <formula>"NO"</formula>
    </cfRule>
  </conditionalFormatting>
  <conditionalFormatting sqref="E5:E47 G5:G47">
    <cfRule type="cellIs" dxfId="603" priority="4" operator="equal">
      <formula>"NOT FOUND"</formula>
    </cfRule>
  </conditionalFormatting>
  <conditionalFormatting sqref="G5:G47">
    <cfRule type="cellIs" dxfId="602" priority="2" operator="lessThan">
      <formula>0</formula>
    </cfRule>
  </conditionalFormatting>
  <conditionalFormatting sqref="F5:F47">
    <cfRule type="cellIs" dxfId="601" priority="1" operator="equal">
      <formula>"Yes"</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Fill="0" autoPict="0" macro="[0]!AddRowsToTableWithUserInput" altText="HUMIDIFICATION">
                <anchor moveWithCells="1" sizeWithCells="1">
                  <from>
                    <xdr:col>0</xdr:col>
                    <xdr:colOff>373380</xdr:colOff>
                    <xdr:row>0</xdr:row>
                    <xdr:rowOff>38100</xdr:rowOff>
                  </from>
                  <to>
                    <xdr:col>2</xdr:col>
                    <xdr:colOff>419100</xdr:colOff>
                    <xdr:row>1</xdr:row>
                    <xdr:rowOff>137160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3DF7F-0632-48C8-B462-303747C7D1D3}">
  <sheetPr codeName="Sheet24">
    <tabColor rgb="FFFFFF00"/>
    <pageSetUpPr fitToPage="1"/>
  </sheetPr>
  <dimension ref="A2:BK102"/>
  <sheetViews>
    <sheetView showGridLines="0" zoomScale="80" zoomScaleNormal="70" zoomScaleSheetLayoutView="50" zoomScalePageLayoutView="80" workbookViewId="0">
      <pane xSplit="8" ySplit="4" topLeftCell="AF5" activePane="bottomRight" state="frozen"/>
      <selection pane="topRight" activeCell="H1" sqref="H1"/>
      <selection pane="bottomLeft" activeCell="A3" sqref="A3"/>
      <selection pane="bottomRight" activeCell="AL5" sqref="AL5"/>
    </sheetView>
  </sheetViews>
  <sheetFormatPr defaultColWidth="8.88671875" defaultRowHeight="15"/>
  <cols>
    <col min="1" max="1" width="2.88671875" style="33" customWidth="1"/>
    <col min="2" max="3" width="12.6640625" style="33" customWidth="1"/>
    <col min="4" max="4" width="9.88671875" style="34" bestFit="1" customWidth="1"/>
    <col min="5" max="5" width="14" style="35" bestFit="1" customWidth="1"/>
    <col min="6" max="6" width="16" style="34" bestFit="1" customWidth="1"/>
    <col min="7" max="7" width="9.88671875" style="34" bestFit="1" customWidth="1"/>
    <col min="8" max="8" width="12.6640625" style="33" customWidth="1"/>
    <col min="9" max="9" width="20.6640625" style="36" bestFit="1" customWidth="1"/>
    <col min="10" max="10" width="42.109375" style="36" bestFit="1" customWidth="1"/>
    <col min="11" max="11" width="28.88671875" style="36" bestFit="1" customWidth="1"/>
    <col min="12" max="12" width="27.77734375" style="33" bestFit="1" customWidth="1"/>
    <col min="13" max="13" width="34.88671875" style="33" bestFit="1" customWidth="1"/>
    <col min="14" max="14" width="28.5546875" style="36" bestFit="1" customWidth="1"/>
    <col min="15" max="15" width="27.109375" style="33" bestFit="1" customWidth="1"/>
    <col min="16" max="16" width="24.44140625" style="33" bestFit="1" customWidth="1"/>
    <col min="17" max="18" width="17.109375" style="36" bestFit="1" customWidth="1"/>
    <col min="19" max="20" width="21.21875" style="33" bestFit="1" customWidth="1"/>
    <col min="21" max="21" width="23.6640625" style="33" bestFit="1" customWidth="1"/>
    <col min="22" max="22" width="23.33203125" style="36" bestFit="1" customWidth="1"/>
    <col min="23" max="23" width="28.88671875" style="36" bestFit="1" customWidth="1"/>
    <col min="24" max="24" width="19.109375" style="34" bestFit="1" customWidth="1"/>
    <col min="25" max="25" width="16.6640625" style="36" bestFit="1" customWidth="1"/>
    <col min="26" max="26" width="18" style="37" customWidth="1"/>
    <col min="27" max="27" width="19.109375" style="33" bestFit="1" customWidth="1"/>
    <col min="28" max="28" width="19.6640625" style="34" customWidth="1"/>
    <col min="29" max="29" width="20.44140625" style="34" customWidth="1"/>
    <col min="30" max="30" width="21.88671875" style="34" bestFit="1" customWidth="1"/>
    <col min="31" max="31" width="22.44140625" style="34" bestFit="1" customWidth="1"/>
    <col min="32" max="32" width="13.33203125" style="34" bestFit="1" customWidth="1"/>
    <col min="33" max="33" width="18.44140625" style="38" bestFit="1" customWidth="1"/>
    <col min="34" max="34" width="22" style="38" bestFit="1" customWidth="1"/>
    <col min="35" max="35" width="17.44140625" style="38" customWidth="1"/>
    <col min="36" max="36" width="18.88671875" style="39" customWidth="1"/>
    <col min="37" max="37" width="16" style="39" customWidth="1"/>
    <col min="38" max="38" width="20" style="39" bestFit="1" customWidth="1"/>
    <col min="39" max="40" width="21" style="33" customWidth="1"/>
    <col min="41" max="41" width="19.5546875" style="33" customWidth="1"/>
    <col min="42" max="42" width="9.6640625" style="33" customWidth="1"/>
    <col min="43" max="43" width="18.33203125" style="33" bestFit="1" customWidth="1"/>
    <col min="44" max="44" width="19.33203125" style="33" bestFit="1" customWidth="1"/>
    <col min="45" max="45" width="13.5546875" style="33" bestFit="1" customWidth="1"/>
    <col min="46" max="46" width="12.109375" style="33" bestFit="1" customWidth="1"/>
    <col min="47" max="47" width="15" style="33" bestFit="1" customWidth="1"/>
    <col min="48" max="48" width="15.6640625" style="33" bestFit="1" customWidth="1"/>
    <col min="49" max="49" width="14.5546875" style="33" bestFit="1" customWidth="1"/>
    <col min="50" max="50" width="18.33203125" style="33" bestFit="1" customWidth="1"/>
    <col min="51" max="51" width="13.44140625" style="33" bestFit="1" customWidth="1"/>
    <col min="52" max="52" width="14.6640625" style="33" bestFit="1" customWidth="1"/>
    <col min="53" max="53" width="32.109375" style="33" bestFit="1" customWidth="1"/>
    <col min="54" max="54" width="12.44140625" style="33" bestFit="1" customWidth="1"/>
    <col min="55" max="55" width="24.21875" style="33" bestFit="1" customWidth="1"/>
    <col min="56" max="56" width="14.44140625" style="33" bestFit="1" customWidth="1"/>
    <col min="57" max="57" width="12.21875" style="33" bestFit="1" customWidth="1"/>
    <col min="58" max="58" width="8.88671875" style="33" customWidth="1"/>
    <col min="59" max="16384" width="8.88671875" style="33"/>
  </cols>
  <sheetData>
    <row r="2" spans="1:63">
      <c r="AQ2" s="288" t="s">
        <v>740</v>
      </c>
    </row>
    <row r="3" spans="1:63" ht="15.6">
      <c r="B3" s="495" t="s">
        <v>2</v>
      </c>
      <c r="C3" s="496"/>
      <c r="D3" s="496"/>
      <c r="E3" s="496"/>
      <c r="F3" s="496"/>
      <c r="G3" s="496"/>
      <c r="H3" s="496"/>
      <c r="I3" s="497"/>
      <c r="J3" s="498" t="s">
        <v>3</v>
      </c>
      <c r="K3" s="499"/>
      <c r="L3" s="499"/>
      <c r="M3" s="499"/>
      <c r="N3" s="499"/>
      <c r="O3" s="499"/>
      <c r="P3" s="499"/>
      <c r="Q3" s="499"/>
      <c r="R3" s="500"/>
      <c r="S3" s="498" t="s">
        <v>4</v>
      </c>
      <c r="T3" s="499"/>
      <c r="U3" s="499"/>
      <c r="V3" s="499"/>
      <c r="W3" s="499"/>
      <c r="X3" s="499"/>
      <c r="Y3" s="499"/>
      <c r="Z3" s="499"/>
      <c r="AA3" s="499"/>
      <c r="AB3" s="499"/>
      <c r="AC3" s="499"/>
      <c r="AD3" s="499"/>
      <c r="AE3" s="499"/>
      <c r="AF3" s="499"/>
      <c r="AG3" s="499"/>
      <c r="AH3" s="499"/>
      <c r="AI3" s="499"/>
      <c r="AJ3" s="500"/>
      <c r="AK3" s="372"/>
      <c r="AL3" s="501" t="s">
        <v>1075</v>
      </c>
      <c r="AM3" s="502"/>
      <c r="AN3" s="502"/>
      <c r="AO3" s="502"/>
      <c r="AP3" s="371"/>
      <c r="AQ3" s="289">
        <f ca="1">((AH1Table4a_Ashrae[[#Totals],[DESIGN OA (CFM)]]+AR3)/AH1Table4a_Ashrae[[#Totals],[DESIGN SA (CFM)]])</f>
        <v>0.04</v>
      </c>
      <c r="AR3" s="105">
        <v>100</v>
      </c>
    </row>
    <row r="4" spans="1:63" s="41" customFormat="1" ht="53.1" customHeight="1">
      <c r="A4" s="40"/>
      <c r="B4" s="78" t="s">
        <v>5</v>
      </c>
      <c r="C4" s="373" t="s">
        <v>1076</v>
      </c>
      <c r="D4" s="79" t="s">
        <v>6</v>
      </c>
      <c r="E4" s="80" t="s">
        <v>7</v>
      </c>
      <c r="F4" s="80" t="s">
        <v>8</v>
      </c>
      <c r="G4" s="80" t="s">
        <v>9</v>
      </c>
      <c r="H4" s="81" t="s">
        <v>10</v>
      </c>
      <c r="I4" s="80" t="s">
        <v>11</v>
      </c>
      <c r="J4" s="80" t="s">
        <v>13</v>
      </c>
      <c r="K4" s="80" t="s">
        <v>2695</v>
      </c>
      <c r="L4" s="80" t="s">
        <v>14</v>
      </c>
      <c r="M4" s="80" t="s">
        <v>15</v>
      </c>
      <c r="N4" s="80" t="s">
        <v>16</v>
      </c>
      <c r="O4" s="80" t="s">
        <v>17</v>
      </c>
      <c r="P4" s="80" t="s">
        <v>18</v>
      </c>
      <c r="Q4" s="80" t="s">
        <v>19</v>
      </c>
      <c r="R4" s="80" t="s">
        <v>20</v>
      </c>
      <c r="S4" s="80" t="s">
        <v>21</v>
      </c>
      <c r="T4" s="81" t="s">
        <v>22</v>
      </c>
      <c r="U4" s="80" t="s">
        <v>23</v>
      </c>
      <c r="V4" s="80" t="s">
        <v>24</v>
      </c>
      <c r="W4" s="80" t="s">
        <v>25</v>
      </c>
      <c r="X4" s="80" t="s">
        <v>26</v>
      </c>
      <c r="Y4" s="80" t="s">
        <v>27</v>
      </c>
      <c r="Z4" s="80" t="s">
        <v>28</v>
      </c>
      <c r="AA4" s="80" t="s">
        <v>29</v>
      </c>
      <c r="AB4" s="80" t="s">
        <v>30</v>
      </c>
      <c r="AC4" s="80" t="s">
        <v>31</v>
      </c>
      <c r="AD4" s="80" t="s">
        <v>32</v>
      </c>
      <c r="AE4" s="80" t="s">
        <v>33</v>
      </c>
      <c r="AF4" s="80" t="s">
        <v>34</v>
      </c>
      <c r="AG4" s="80" t="s">
        <v>35</v>
      </c>
      <c r="AH4" s="80" t="s">
        <v>36</v>
      </c>
      <c r="AI4" s="80" t="s">
        <v>37</v>
      </c>
      <c r="AJ4" s="80" t="s">
        <v>38</v>
      </c>
      <c r="AK4" s="80" t="s">
        <v>39</v>
      </c>
      <c r="AL4" s="80" t="s">
        <v>670</v>
      </c>
      <c r="AM4" s="80" t="s">
        <v>671</v>
      </c>
      <c r="AN4" s="80" t="s">
        <v>91</v>
      </c>
      <c r="AO4" s="80" t="s">
        <v>672</v>
      </c>
      <c r="AP4" s="80" t="s">
        <v>41</v>
      </c>
      <c r="AQ4" s="80" t="s">
        <v>42</v>
      </c>
      <c r="AR4" s="80" t="s">
        <v>12</v>
      </c>
      <c r="AS4" s="33"/>
      <c r="AT4" s="33"/>
      <c r="AU4" s="33"/>
      <c r="AV4" s="33"/>
      <c r="AW4" s="33"/>
      <c r="AX4" s="33"/>
      <c r="AY4" s="33"/>
      <c r="AZ4" s="33"/>
      <c r="BA4" s="33"/>
      <c r="BB4" s="33"/>
      <c r="BC4" s="33"/>
      <c r="BD4" s="33"/>
      <c r="BE4" s="33"/>
      <c r="BF4" s="33"/>
      <c r="BG4" s="33"/>
      <c r="BH4" s="33"/>
      <c r="BI4" s="33"/>
      <c r="BJ4" s="33"/>
      <c r="BK4" s="33"/>
    </row>
    <row r="5" spans="1:63" ht="15" customHeight="1">
      <c r="B5" s="77" t="s">
        <v>62</v>
      </c>
      <c r="C5" s="77"/>
      <c r="D5" s="92" t="s">
        <v>43</v>
      </c>
      <c r="E5" s="92">
        <v>1234</v>
      </c>
      <c r="F5" s="92">
        <v>5000</v>
      </c>
      <c r="G5" s="92">
        <v>10</v>
      </c>
      <c r="H5" s="92">
        <v>200</v>
      </c>
      <c r="I5" s="92">
        <v>250</v>
      </c>
      <c r="J5" s="92" t="s">
        <v>176</v>
      </c>
      <c r="K5" s="92" t="str">
        <f>IF(ISNUMBER(SEARCH("Corridor",AH1Table4a_Ashrae[[#This Row],[FUNCTION OR SPACE]])),"YES","NA")</f>
        <v>YES</v>
      </c>
      <c r="L5" s="91" t="str">
        <f>VLOOKUP($J5,'UMC Table 4-A'!$A$2:$E$132,2,FALSE)</f>
        <v>NR</v>
      </c>
      <c r="M5" s="91" t="str">
        <f>VLOOKUP($J5,'UMC Table 4-A'!$A$2:$E$132,3,FALSE)</f>
        <v>NR</v>
      </c>
      <c r="N5" s="93">
        <f>IF(AH1Table4a_Ashrae[[#This Row],[FUNCTION OR SPACE]]="NOT PER TABLE 4A","NA",IF(M5&lt;&gt;"NR",ROUNDUP((F5*G5*M5)/60,-1),0))</f>
        <v>0</v>
      </c>
      <c r="O5" s="91">
        <f>VLOOKUP($J5,'UMC Table 4-A'!$A$2:$E$132,4,FALSE)</f>
        <v>2</v>
      </c>
      <c r="P5" s="91">
        <f>IF(AH1Table4a_Ashrae[[#This Row],[FUNCTION OR SPACE]]="NOT PER TABLE 4A","NA",IF(O5&lt;&gt;"NR",ROUNDUP((F5*G5*O5)/60,-1),0))</f>
        <v>1670</v>
      </c>
      <c r="Q5" s="91" t="str">
        <f>VLOOKUP($J5,'UMC Table 4-A'!$A$2:$E$132,5,FALSE)</f>
        <v>NR</v>
      </c>
      <c r="R5" s="91">
        <f t="shared" ref="R5" si="0">IF(Q5="Yes",P5,0)</f>
        <v>0</v>
      </c>
      <c r="S5" s="92" t="s">
        <v>45</v>
      </c>
      <c r="T5" s="92">
        <v>0</v>
      </c>
      <c r="U5" s="92" t="s">
        <v>45</v>
      </c>
      <c r="V5" s="91" t="str">
        <f>IF(AH1Table4a_Ashrae[[#This Row],[FUNCTION OR SPACE]]="NOT PER TABLE 4A",VLOOKUP(AH1Table4a_Ashrae[[#This Row],[OCCUPANCY CATEGORY]],Ashrae90.1Vent[#All],2,FALSE),"NA")</f>
        <v>NA</v>
      </c>
      <c r="W5" s="94" t="str">
        <f>IF(AH1Table4a_Ashrae[[#This Row],[FUNCTION OR SPACE]]="NOT PER TABLE 4A", VLOOKUP(AH1Table4a_Ashrae[[#This Row],[OCCUPANCY CATEGORY]],Ashrae90.1Vent[#All],3,FALSE),"NA")</f>
        <v>NA</v>
      </c>
      <c r="X5" s="94" t="str">
        <f>IF(AH1Table4a_Ashrae[[#This Row],[FUNCTION OR SPACE]]="NOT PER TABLE 4A",VLOOKUP(AH1Table4a_Ashrae[[#This Row],[OCCUPANCY CATEGORY]],Ashrae90.1Vent[#All],4,FALSE),"NA")</f>
        <v>NA</v>
      </c>
      <c r="Y5" s="94" t="str">
        <f>IF(AH1Table4a_Ashrae[[#This Row],[FUNCTION OR SPACE]]="NOT PER TABLE 4A",VLOOKUP(AH1Table4a_Ashrae[[#This Row],[OCCUPANCY CATEGORY]],Ashrae90.1Vent[#All],5,FALSE),"NA")</f>
        <v>NA</v>
      </c>
      <c r="Z5" s="92" t="str">
        <f>IF(AH1Table4a_Ashrae[[#This Row],[FUNCTION OR SPACE]]="NOT PER TABLE 4A",AH1Table4a_Ashrae[[#This Row],[Occupants (Pz)]],"NA")</f>
        <v>NA</v>
      </c>
      <c r="AA5" s="94" t="str">
        <f>IF(AH1Table4a_Ashrae[[#This Row],[FUNCTION OR SPACE]]="NOT PER TABLE 4A",CEILING((X5/1000)*F5,1),"NA")</f>
        <v>NA</v>
      </c>
      <c r="AB5" s="94" t="str">
        <f>IF(AH1Table4a_Ashrae[[#This Row],[FUNCTION OR SPACE]]="NOT PER TABLE 4A",IF((AH1Table4a_Ashrae[[#Totals],[Actual Number of  Occupants (Ps)]]/AH1Table4a_Ashrae[[#Totals],[Occupants (Pz)]])&gt;1,1,AH1Table4a_Ashrae[[#Totals],[Actual Number of  Occupants (Ps)]]/AH1Table4a_Ashrae[[#Totals],[Occupants (Pz)]]),"NA")</f>
        <v>NA</v>
      </c>
      <c r="AC5" s="95" t="str">
        <f>IF(AH1Table4a_Ashrae[[#This Row],[FUNCTION OR SPACE]]="NOT PER TABLE 4A",(AH1Table4a_Ashrae[[#This Row],[DIVERSITY (D)]]*AH1Table4a_Ashrae[[#This Row],[RP
(CFM/PER PERSON)]]*AH1Table4a_Ashrae[[#This Row],[Occupants (Pz)]])+(AH1Table4a_Ashrae[[#This Row],[RA
(CFM/FT²)]]*AH1Table4a_Ashrae[[#This Row],[AREA 
(FT²)]]),"NA")</f>
        <v>NA</v>
      </c>
      <c r="AD5" s="96" t="str">
        <f>IF(AH1Table4a_Ashrae[[#This Row],[FUNCTION OR SPACE]]="NOT PER TABLE 4A",IF(AH1Table4a_Ashrae[[#This Row],[DIVERSITY (D)]]&lt;0.6,(0.88*AH1Table4a_Ashrae[[#This Row],[DIVERSITY (D)]]+0.22),0.75),"NA")</f>
        <v>NA</v>
      </c>
      <c r="AE5" s="95" t="str">
        <f>IF(AH1Table4a_Ashrae[[#This Row],[FUNCTION OR SPACE]]="NOT PER TABLE 4A",AH1Table4a_Ashrae[[#This Row],[Uncorrected OA (Vou)]]/AH1Table4a_Ashrae[[#This Row],[System Efficiency (Ev)]],"NA")</f>
        <v>NA</v>
      </c>
      <c r="AF5" s="92" t="s">
        <v>46</v>
      </c>
      <c r="AG5" s="95" t="str">
        <f>VLOOKUP(AH1Table4a_Ashrae[[#This Row],[OCCUPANCY CATEGORY]],Ashrae90.1Vent[#All],6,FALSE)</f>
        <v>NA</v>
      </c>
      <c r="AH5" s="95" t="str">
        <f>IF(AH1Table4a_Ashrae[[#This Row],[Exhaust Category]]="NOT APPLICABLE","NA",VLOOKUP(AH1Table4a_Ashrae[[#This Row],[Exhaust Category]],ASHRAE_EA_Table[#All],2,FALSE))</f>
        <v>NA</v>
      </c>
      <c r="AI5" s="95" t="str">
        <f>IF(AH1Table4a_Ashrae[[#This Row],[Exhaust Category]]="NOT APPLICABLE","NA",VLOOKUP(AH1Table4a_Ashrae[[#This Row],[Exhaust Category]],ASHRAE_EA_Table[#All],3,FALSE))</f>
        <v>NA</v>
      </c>
      <c r="AJ5" s="94">
        <f>IFERROR(IF(AH1Table4a_Ashrae[[#This Row],[EA RATE
(CFM/UNIT)]] = 0,AH1Table4a_Ashrae[[#This Row],[EA RATE
(CFM/FT²)]]*AH1Table4a_Ashrae[[#This Row],[AREA 
(FT²)]],AH1Table4a_Ashrae[[#This Row],[EA RATE
(CFM/UNIT)]]*AH1Table4a_Ashrae[[#This Row],[ASHRAE
EXHAUST UNIT]]),0)</f>
        <v>0</v>
      </c>
      <c r="AK5" s="91" cm="1">
        <f t="array" aca="1" ref="AK5" ca="1">supplyair_Comb(AH1Table4a_Ashrae[[#This Row],[LOAD 
(CFM)]],AH1Table4a_Ashrae[[#This Row],[MIN TOTAL ACH 
(CFM)]],AH1Table4a_Ashrae[[#This Row],[1 or 0.5 CFM/SF]],AH1Table4a_Ashrae[[#This Row],[Desired Air Balance Difference]],AH1Table4a_Ashrae[[#This Row],[100% EA
 (YES/NR)]],AH1Table4a_Ashrae[[#This Row],[MIN EA 
(CFM)]],AH1Table4a_Ashrae[[#This Row],[FUNCTION OR SPACE]],AH1Table4a_Ashrae[[#This Row],[Exhaust Category]],AH1Table4a_Ashrae[[#This Row],[MIN ASHRAE EA
(CFM)]],AH1Table4a_Ashrae[[#This Row],[DESIGN OA (CFM)]])</f>
        <v>2500</v>
      </c>
      <c r="AL5" s="90">
        <f>MROUND(IF(AH1Table4a_Ashrae[[#This Row],[FUNCTION OR SPACE]]="NOT PER TABLE 4A",AH1Table4a_Ashrae[[#This Row],[OUTSIDE AIRFLOW (CFM) (Vot)]],AH1Table4a_Ashrae[[#This Row],[MIN OUTDOOR ACH 
(CFM)]]),5)</f>
        <v>0</v>
      </c>
      <c r="AM5" s="97">
        <f ca="1">AH1Table4a_Ashrae[[#This Row],[CALCULATED SA 
(CFM)]]</f>
        <v>2500</v>
      </c>
      <c r="AN5" s="97" cm="1">
        <f t="array" aca="1" ref="AN5" ca="1">returnair_comb(AH1Table4a_Ashrae[[#This Row],[DESIGN SA (CFM)]],AH1Table4a_Ashrae[[#This Row],[Desired Air Balance Difference]],AH1Table4a_Ashrae[[#This Row],[100% EA
 (YES/NR)]],AH1Table4a_Ashrae[[#This Row],[FUNCTION OR SPACE]],AH1Table4a_Ashrae[[#This Row],[Exhaust Category]],AH1Table4a_Ashrae[[#This Row],[MIN ASHRAE EA
(CFM)]])</f>
        <v>2300</v>
      </c>
      <c r="AO5" s="97" cm="1">
        <f t="array" aca="1" ref="AO5" ca="1">Exhaustair_comb(AH1Table4a_Ashrae[[#This Row],[DESIGN SA (CFM)]],AH1Table4a_Ashrae[[#This Row],[100% EA
 (YES/NR)]],AH1Table4a_Ashrae[[#This Row],[MIN EA 
(CFM)]],AH1Table4a_Ashrae[[#This Row],[Desired Air Balance Difference]],AH1Table4a_Ashrae[[#This Row],[FUNCTION OR SPACE]],AH1Table4a_Ashrae[[#This Row],[Exhaust Category]],AH1Table4a_Ashrae[[#This Row],[MIN ASHRAE EA
(CFM)]])</f>
        <v>0</v>
      </c>
      <c r="AP5" s="98">
        <f t="shared" ref="AP5" ca="1" si="1">IFERROR(AK5/F5,"-")</f>
        <v>0.5</v>
      </c>
      <c r="AQ5" s="98">
        <f ca="1">IF(AH1Table4a_Ashrae[[#This Row],[DESIGN SA (CFM)]]=0,0,(AH1Table4a_Ashrae[[#This Row],[DESIGN OA (CFM)]]/AH1Table4a_Ashrae[[#This Row],[DESIGN SA (CFM)]])*100)</f>
        <v>0</v>
      </c>
      <c r="AR5" s="91">
        <f t="shared" ref="AR5" si="2">IF(OR((J5="PATIENT CORRIDOR"),(J5="TOILET")),(F5*0.5),F5)</f>
        <v>2500</v>
      </c>
    </row>
    <row r="6" spans="1:63" ht="15" customHeight="1">
      <c r="B6" s="89"/>
      <c r="C6" s="89"/>
      <c r="D6" s="102"/>
      <c r="E6" s="102"/>
      <c r="F6" s="103">
        <f>SUBTOTAL(109,AH1Table4a_Ashrae[AREA 
(FT²)])</f>
        <v>5000</v>
      </c>
      <c r="G6" s="103"/>
      <c r="H6" s="103"/>
      <c r="I6" s="103"/>
      <c r="J6" s="103"/>
      <c r="K6" s="103"/>
      <c r="L6" s="103"/>
      <c r="M6" s="103"/>
      <c r="N6" s="104">
        <f>SUBTOTAL(109,AH1Table4a_Ashrae[MIN OUTDOOR ACH 
(CFM)])</f>
        <v>0</v>
      </c>
      <c r="O6" s="103"/>
      <c r="P6" s="103">
        <f>SUBTOTAL(109,AH1Table4a_Ashrae[MIN TOTAL ACH 
(CFM)])</f>
        <v>1670</v>
      </c>
      <c r="Q6" s="103"/>
      <c r="R6" s="103">
        <f>SUBTOTAL(109,AH1Table4a_Ashrae[MIN EA 
(CFM)])</f>
        <v>0</v>
      </c>
      <c r="S6" s="103"/>
      <c r="T6" s="103"/>
      <c r="U6" s="103"/>
      <c r="V6" s="103"/>
      <c r="W6" s="103"/>
      <c r="X6" s="103"/>
      <c r="Y6" s="103"/>
      <c r="Z6" s="103">
        <f>SUBTOTAL(109,AH1Table4a_Ashrae[Actual Number of  Occupants (Ps)])</f>
        <v>0</v>
      </c>
      <c r="AA6" s="103">
        <f>SUBTOTAL(109,AH1Table4a_Ashrae[Occupants (Pz)])</f>
        <v>0</v>
      </c>
      <c r="AB6" s="103"/>
      <c r="AC6" s="103"/>
      <c r="AD6" s="103"/>
      <c r="AE6" s="103"/>
      <c r="AF6" s="103"/>
      <c r="AG6" s="103"/>
      <c r="AH6" s="103"/>
      <c r="AI6" s="103"/>
      <c r="AJ6" s="103"/>
      <c r="AK6" s="103">
        <f ca="1">SUBTOTAL(109,AH1Table4a_Ashrae[CALCULATED SA 
(CFM)])</f>
        <v>2500</v>
      </c>
      <c r="AL6" s="103">
        <f>SUBTOTAL(109,AH1Table4a_Ashrae[DESIGN OA (CFM)])</f>
        <v>0</v>
      </c>
      <c r="AM6" s="103">
        <f ca="1">SUBTOTAL(109,AH1Table4a_Ashrae[DESIGN SA (CFM)])</f>
        <v>2500</v>
      </c>
      <c r="AN6" s="104">
        <f ca="1">SUBTOTAL(109,AH1Table4a_Ashrae[DESIGN RA (CFM)])</f>
        <v>2300</v>
      </c>
      <c r="AO6" s="103">
        <f ca="1">SUBTOTAL(109,AH1Table4a_Ashrae[DESIGN EA (CFM)])</f>
        <v>0</v>
      </c>
      <c r="AP6" s="103"/>
      <c r="AQ6" s="105"/>
      <c r="AR6" s="103"/>
    </row>
    <row r="7" spans="1:63" ht="15" customHeight="1">
      <c r="B7" s="42"/>
      <c r="C7" s="42"/>
      <c r="D7" s="43"/>
      <c r="H7" s="34"/>
      <c r="I7" s="44"/>
      <c r="J7" s="44"/>
      <c r="K7" s="44"/>
      <c r="N7" s="45"/>
      <c r="O7" s="46"/>
      <c r="P7" s="46"/>
      <c r="R7" s="33"/>
      <c r="U7" s="47"/>
      <c r="V7" s="47"/>
      <c r="W7" s="33"/>
      <c r="X7" s="33"/>
      <c r="Y7" s="33"/>
      <c r="Z7" s="33"/>
      <c r="AA7" s="47"/>
      <c r="AB7" s="48"/>
    </row>
    <row r="8" spans="1:63" ht="15" customHeight="1">
      <c r="B8" s="49"/>
      <c r="C8" s="49"/>
      <c r="D8" s="43"/>
      <c r="H8" s="34"/>
      <c r="I8" s="44"/>
      <c r="J8" s="44"/>
      <c r="K8" s="44"/>
      <c r="N8" s="45"/>
      <c r="O8" s="46"/>
      <c r="P8" s="46"/>
      <c r="R8" s="33"/>
      <c r="W8" s="33"/>
      <c r="X8" s="33"/>
      <c r="Y8" s="33"/>
      <c r="Z8" s="33"/>
      <c r="AA8" s="34"/>
      <c r="AB8" s="48"/>
    </row>
    <row r="9" spans="1:63" ht="15" customHeight="1">
      <c r="B9" s="42"/>
      <c r="C9" s="42"/>
      <c r="D9" s="43"/>
      <c r="W9" s="33"/>
      <c r="X9" s="33"/>
      <c r="Y9" s="33"/>
      <c r="Z9" s="33"/>
    </row>
    <row r="10" spans="1:63" ht="15" customHeight="1">
      <c r="N10" s="33"/>
      <c r="Q10" s="33"/>
      <c r="T10" s="33" t="s">
        <v>73</v>
      </c>
      <c r="W10" s="33"/>
      <c r="X10" s="33"/>
      <c r="Y10" s="33"/>
      <c r="Z10" s="33"/>
    </row>
    <row r="11" spans="1:63" ht="15" customHeight="1">
      <c r="W11" s="33"/>
      <c r="X11" s="33"/>
      <c r="Y11" s="33"/>
      <c r="Z11" s="33"/>
    </row>
    <row r="12" spans="1:63" ht="15" customHeight="1">
      <c r="W12" s="33"/>
      <c r="X12" s="33"/>
      <c r="Y12" s="33"/>
      <c r="Z12" s="33"/>
    </row>
    <row r="13" spans="1:63" ht="15" customHeight="1">
      <c r="W13" s="33"/>
      <c r="X13" s="33"/>
      <c r="Y13" s="33"/>
      <c r="Z13" s="33"/>
    </row>
    <row r="14" spans="1:63" ht="15" customHeight="1">
      <c r="W14" s="33"/>
      <c r="X14" s="33"/>
      <c r="Y14" s="33"/>
      <c r="Z14" s="33"/>
      <c r="AB14" s="265"/>
    </row>
    <row r="15" spans="1:63" ht="15" customHeight="1"/>
    <row r="16" spans="1:63"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spans="35:44" ht="15" customHeight="1"/>
    <row r="34" spans="35:44" ht="15" customHeight="1"/>
    <row r="35" spans="35:44" ht="15" customHeight="1"/>
    <row r="36" spans="35:44" ht="15" customHeight="1"/>
    <row r="37" spans="35:44" ht="15" customHeight="1"/>
    <row r="38" spans="35:44" ht="15" customHeight="1"/>
    <row r="39" spans="35:44" ht="15" customHeight="1"/>
    <row r="40" spans="35:44" ht="15" customHeight="1"/>
    <row r="41" spans="35:44" ht="15" customHeight="1"/>
    <row r="42" spans="35:44" ht="15" customHeight="1"/>
    <row r="43" spans="35:44" ht="15" customHeight="1"/>
    <row r="44" spans="35:44" ht="15" customHeight="1"/>
    <row r="45" spans="35:44" ht="15" customHeight="1"/>
    <row r="46" spans="35:44" ht="15" customHeight="1">
      <c r="AI46" s="34"/>
      <c r="AJ46" s="34"/>
      <c r="AK46" s="34"/>
      <c r="AL46" s="34"/>
      <c r="AM46" s="34"/>
      <c r="AN46" s="34"/>
      <c r="AO46" s="34"/>
      <c r="AP46" s="34"/>
      <c r="AQ46" s="34"/>
      <c r="AR46" s="34"/>
    </row>
    <row r="47" spans="35:44" ht="15" customHeight="1">
      <c r="AI47" s="34"/>
      <c r="AJ47" s="34"/>
      <c r="AK47" s="34"/>
      <c r="AL47" s="34"/>
      <c r="AM47" s="34"/>
      <c r="AN47" s="34"/>
      <c r="AO47" s="34"/>
      <c r="AP47" s="34"/>
      <c r="AQ47" s="34"/>
      <c r="AR47" s="34"/>
    </row>
    <row r="48" spans="35:44" ht="15" customHeight="1">
      <c r="AI48" s="34"/>
      <c r="AJ48" s="34"/>
      <c r="AK48" s="34"/>
      <c r="AL48" s="34"/>
      <c r="AM48" s="34"/>
      <c r="AN48" s="34"/>
      <c r="AO48" s="34"/>
      <c r="AP48" s="34"/>
      <c r="AQ48" s="34"/>
      <c r="AR48" s="34"/>
    </row>
    <row r="49" spans="16:50" ht="15" customHeight="1">
      <c r="AI49" s="34"/>
      <c r="AJ49" s="34"/>
      <c r="AK49" s="34"/>
      <c r="AL49" s="34"/>
      <c r="AM49" s="34"/>
      <c r="AN49" s="34"/>
      <c r="AO49" s="34"/>
      <c r="AP49" s="34"/>
      <c r="AQ49" s="34"/>
      <c r="AR49" s="34"/>
    </row>
    <row r="50" spans="16:50" ht="15" customHeight="1">
      <c r="AI50" s="34"/>
      <c r="AJ50" s="34"/>
      <c r="AK50" s="34"/>
      <c r="AL50" s="34"/>
      <c r="AM50" s="34"/>
      <c r="AN50" s="34"/>
      <c r="AO50" s="34"/>
      <c r="AP50" s="34"/>
      <c r="AQ50" s="34"/>
      <c r="AR50" s="34"/>
    </row>
    <row r="51" spans="16:50" ht="15" customHeight="1">
      <c r="AI51" s="34"/>
      <c r="AJ51" s="34"/>
      <c r="AK51" s="34"/>
      <c r="AL51" s="34"/>
      <c r="AM51" s="34"/>
      <c r="AN51" s="34"/>
      <c r="AO51" s="34"/>
      <c r="AP51" s="34"/>
      <c r="AQ51" s="34"/>
      <c r="AR51" s="34"/>
    </row>
    <row r="52" spans="16:50" ht="15" customHeight="1">
      <c r="AI52" s="34"/>
      <c r="AJ52" s="34"/>
      <c r="AK52" s="34"/>
      <c r="AL52" s="34"/>
      <c r="AM52" s="34"/>
      <c r="AN52" s="34"/>
      <c r="AO52" s="34"/>
      <c r="AP52" s="34"/>
      <c r="AQ52" s="34"/>
      <c r="AR52" s="34"/>
    </row>
    <row r="53" spans="16:50" ht="15" customHeight="1">
      <c r="AI53" s="34"/>
      <c r="AJ53" s="34"/>
      <c r="AK53" s="34"/>
      <c r="AL53" s="34"/>
      <c r="AM53" s="34"/>
      <c r="AN53" s="34"/>
      <c r="AO53" s="34"/>
      <c r="AP53" s="34"/>
      <c r="AQ53" s="34"/>
      <c r="AR53" s="34"/>
      <c r="AS53" s="34"/>
      <c r="AT53" s="34"/>
      <c r="AU53" s="34"/>
      <c r="AV53" s="34"/>
    </row>
    <row r="54" spans="16:50" ht="15" customHeight="1">
      <c r="AI54" s="34"/>
      <c r="AJ54" s="34"/>
      <c r="AK54" s="34"/>
      <c r="AL54" s="34"/>
      <c r="AM54" s="34"/>
      <c r="AN54" s="34"/>
      <c r="AO54" s="34"/>
      <c r="AP54" s="34"/>
      <c r="AQ54" s="34"/>
      <c r="AR54" s="34"/>
      <c r="AS54" s="34"/>
      <c r="AT54" s="34"/>
      <c r="AU54" s="34"/>
      <c r="AV54" s="34"/>
    </row>
    <row r="55" spans="16:50" ht="15" customHeight="1">
      <c r="AI55" s="34"/>
      <c r="AJ55" s="34"/>
      <c r="AK55" s="34"/>
      <c r="AL55" s="34"/>
      <c r="AM55" s="34"/>
      <c r="AN55" s="34"/>
      <c r="AO55" s="34"/>
      <c r="AP55" s="34"/>
      <c r="AQ55" s="34"/>
      <c r="AR55" s="34"/>
      <c r="AS55" s="34"/>
      <c r="AT55" s="34"/>
      <c r="AU55" s="34"/>
      <c r="AV55" s="34"/>
    </row>
    <row r="56" spans="16:50" ht="15" customHeight="1">
      <c r="AI56" s="34"/>
      <c r="AJ56" s="34"/>
      <c r="AK56" s="34"/>
      <c r="AL56" s="34"/>
      <c r="AM56" s="34"/>
      <c r="AN56" s="34"/>
      <c r="AO56" s="34"/>
      <c r="AP56" s="34"/>
      <c r="AQ56" s="34"/>
      <c r="AR56" s="34"/>
      <c r="AS56" s="34"/>
      <c r="AT56" s="34"/>
      <c r="AU56" s="34"/>
      <c r="AV56" s="34"/>
      <c r="AX56" s="34"/>
    </row>
    <row r="57" spans="16:50" ht="15" customHeight="1">
      <c r="AI57" s="34"/>
      <c r="AJ57" s="34"/>
      <c r="AK57" s="34"/>
      <c r="AL57" s="34"/>
      <c r="AM57" s="34"/>
      <c r="AN57" s="34"/>
      <c r="AO57" s="34"/>
      <c r="AP57" s="34"/>
      <c r="AQ57" s="34"/>
      <c r="AR57" s="34"/>
      <c r="AS57" s="34"/>
      <c r="AT57" s="34"/>
      <c r="AU57" s="34"/>
      <c r="AV57" s="34"/>
      <c r="AX57" s="34"/>
    </row>
    <row r="58" spans="16:50" ht="15" customHeight="1">
      <c r="AI58" s="34"/>
      <c r="AJ58" s="34"/>
      <c r="AK58" s="34"/>
      <c r="AL58" s="34"/>
      <c r="AM58" s="34"/>
      <c r="AN58" s="34"/>
      <c r="AO58" s="34"/>
      <c r="AP58" s="34"/>
      <c r="AQ58" s="34"/>
      <c r="AR58" s="34"/>
      <c r="AS58" s="34"/>
      <c r="AT58" s="34"/>
      <c r="AU58" s="34"/>
      <c r="AV58" s="34"/>
      <c r="AX58" s="34"/>
    </row>
    <row r="59" spans="16:50" ht="15" customHeight="1">
      <c r="AI59" s="34"/>
      <c r="AJ59" s="34"/>
      <c r="AK59" s="34"/>
      <c r="AL59" s="34"/>
      <c r="AM59" s="34"/>
      <c r="AN59" s="34"/>
      <c r="AO59" s="34"/>
      <c r="AP59" s="34"/>
      <c r="AQ59" s="34"/>
      <c r="AR59" s="34"/>
      <c r="AS59" s="34"/>
      <c r="AT59" s="34"/>
      <c r="AU59" s="34"/>
      <c r="AV59" s="34"/>
      <c r="AX59" s="34"/>
    </row>
    <row r="60" spans="16:50" ht="15" customHeight="1">
      <c r="AI60" s="34"/>
      <c r="AJ60" s="34"/>
      <c r="AK60" s="34"/>
      <c r="AL60" s="34"/>
      <c r="AM60" s="34"/>
      <c r="AN60" s="34"/>
      <c r="AO60" s="34"/>
      <c r="AP60" s="34"/>
      <c r="AQ60" s="34"/>
      <c r="AR60" s="34"/>
      <c r="AS60" s="34"/>
      <c r="AT60" s="34"/>
      <c r="AU60" s="34"/>
      <c r="AV60" s="34"/>
      <c r="AX60" s="34"/>
    </row>
    <row r="61" spans="16:50" ht="15" customHeight="1">
      <c r="AI61" s="34"/>
      <c r="AJ61" s="34"/>
      <c r="AK61" s="34"/>
      <c r="AL61" s="34"/>
      <c r="AM61" s="34"/>
      <c r="AN61" s="34"/>
      <c r="AO61" s="34"/>
      <c r="AP61" s="34"/>
      <c r="AQ61" s="34"/>
      <c r="AR61" s="34"/>
      <c r="AS61" s="34"/>
      <c r="AT61" s="34"/>
      <c r="AU61" s="34"/>
      <c r="AV61" s="34"/>
      <c r="AX61" s="34"/>
    </row>
    <row r="62" spans="16:50" ht="15" customHeight="1">
      <c r="P62" s="36"/>
      <c r="Q62" s="33"/>
      <c r="R62" s="33"/>
      <c r="S62" s="36"/>
      <c r="X62" s="33"/>
      <c r="Y62" s="33"/>
      <c r="Z62" s="33"/>
      <c r="AA62" s="36"/>
      <c r="AB62" s="36"/>
      <c r="AD62" s="36"/>
      <c r="AE62" s="37"/>
      <c r="AF62" s="33"/>
      <c r="AI62" s="34"/>
      <c r="AJ62" s="34"/>
      <c r="AK62" s="34"/>
      <c r="AL62" s="34"/>
      <c r="AM62" s="34"/>
      <c r="AN62" s="34"/>
      <c r="AO62" s="34"/>
      <c r="AP62" s="34"/>
      <c r="AQ62" s="34"/>
      <c r="AR62" s="34"/>
      <c r="AS62" s="34"/>
      <c r="AT62" s="34"/>
      <c r="AU62" s="34"/>
      <c r="AV62" s="34"/>
      <c r="AX62" s="34"/>
    </row>
    <row r="63" spans="16:50" ht="15" customHeight="1">
      <c r="P63" s="34"/>
      <c r="Q63" s="34"/>
      <c r="R63" s="34"/>
      <c r="S63" s="34"/>
      <c r="T63" s="34"/>
      <c r="U63" s="34"/>
      <c r="V63" s="34"/>
      <c r="W63" s="34"/>
      <c r="Y63" s="34"/>
      <c r="Z63" s="34"/>
      <c r="AA63" s="34"/>
      <c r="AI63" s="34"/>
      <c r="AJ63" s="34"/>
      <c r="AK63" s="34"/>
      <c r="AL63" s="34"/>
      <c r="AM63" s="34"/>
      <c r="AN63" s="34"/>
      <c r="AO63" s="34"/>
      <c r="AP63" s="34"/>
      <c r="AQ63" s="34"/>
      <c r="AR63" s="34"/>
      <c r="AS63" s="34"/>
      <c r="AT63" s="34"/>
      <c r="AU63" s="34"/>
      <c r="AV63" s="34"/>
      <c r="AX63" s="34"/>
    </row>
    <row r="64" spans="16:50" ht="15" customHeight="1">
      <c r="P64" s="34"/>
      <c r="Q64" s="34"/>
      <c r="R64" s="34"/>
      <c r="S64" s="34"/>
      <c r="T64" s="34"/>
      <c r="U64" s="34"/>
      <c r="V64" s="34"/>
      <c r="W64" s="34"/>
      <c r="Y64" s="34"/>
      <c r="Z64" s="34"/>
      <c r="AA64" s="34"/>
      <c r="AI64" s="34"/>
      <c r="AJ64" s="34"/>
      <c r="AK64" s="34"/>
      <c r="AL64" s="34"/>
      <c r="AM64" s="34"/>
      <c r="AN64" s="34"/>
      <c r="AO64" s="34"/>
      <c r="AP64" s="34"/>
      <c r="AQ64" s="34"/>
      <c r="AR64" s="34"/>
      <c r="AS64" s="34"/>
      <c r="AT64" s="34"/>
      <c r="AU64" s="34"/>
      <c r="AV64" s="34"/>
      <c r="AX64" s="34"/>
    </row>
    <row r="65" spans="16:51" ht="15" customHeight="1">
      <c r="P65" s="34"/>
      <c r="Q65" s="34"/>
      <c r="R65" s="34"/>
      <c r="S65" s="34"/>
      <c r="T65" s="34"/>
      <c r="U65" s="34"/>
      <c r="V65" s="34"/>
      <c r="W65" s="34"/>
      <c r="Y65" s="34"/>
      <c r="Z65" s="34"/>
      <c r="AA65" s="34"/>
      <c r="AI65" s="34"/>
      <c r="AJ65" s="34"/>
      <c r="AK65" s="34"/>
      <c r="AL65" s="34"/>
      <c r="AM65" s="34"/>
      <c r="AN65" s="34"/>
      <c r="AO65" s="34"/>
      <c r="AP65" s="34"/>
      <c r="AQ65" s="34"/>
      <c r="AR65" s="34"/>
      <c r="AS65" s="34"/>
      <c r="AT65" s="34"/>
      <c r="AU65" s="34"/>
      <c r="AV65" s="34"/>
      <c r="AX65" s="34"/>
    </row>
    <row r="66" spans="16:51" ht="15" customHeight="1">
      <c r="P66" s="34"/>
      <c r="Q66" s="34"/>
      <c r="R66" s="34"/>
      <c r="S66" s="34"/>
      <c r="T66" s="34"/>
      <c r="U66" s="34"/>
      <c r="V66" s="34"/>
      <c r="W66" s="34"/>
      <c r="Y66" s="34"/>
      <c r="Z66" s="34"/>
      <c r="AA66" s="34"/>
      <c r="AI66" s="34"/>
      <c r="AJ66" s="34"/>
      <c r="AK66" s="34"/>
      <c r="AL66" s="34"/>
      <c r="AM66" s="34"/>
      <c r="AN66" s="34"/>
      <c r="AO66" s="34"/>
      <c r="AP66" s="34"/>
      <c r="AQ66" s="34"/>
      <c r="AR66" s="34"/>
      <c r="AS66" s="34"/>
      <c r="AT66" s="34"/>
      <c r="AU66" s="34"/>
      <c r="AV66" s="34"/>
      <c r="AX66" s="34"/>
    </row>
    <row r="67" spans="16:51" ht="15" customHeight="1">
      <c r="P67" s="38"/>
      <c r="Q67" s="38"/>
      <c r="R67" s="34"/>
      <c r="S67" s="34"/>
      <c r="T67" s="34"/>
      <c r="U67" s="34"/>
      <c r="V67" s="34"/>
      <c r="W67" s="34"/>
      <c r="Y67" s="34"/>
      <c r="Z67" s="34"/>
      <c r="AA67" s="34"/>
      <c r="AE67" s="33"/>
      <c r="AI67" s="34"/>
      <c r="AJ67" s="34"/>
      <c r="AK67" s="34"/>
      <c r="AL67" s="34"/>
      <c r="AM67" s="34"/>
      <c r="AN67" s="34"/>
      <c r="AO67" s="34"/>
      <c r="AP67" s="34"/>
      <c r="AQ67" s="34"/>
      <c r="AR67" s="34"/>
      <c r="AS67" s="34"/>
      <c r="AT67" s="34"/>
      <c r="AU67" s="34"/>
      <c r="AV67" s="34"/>
      <c r="AX67" s="34"/>
    </row>
    <row r="68" spans="16:51" ht="15" customHeight="1">
      <c r="P68" s="38"/>
      <c r="Q68" s="38"/>
      <c r="R68" s="34"/>
      <c r="S68" s="34"/>
      <c r="T68" s="34"/>
      <c r="U68" s="34"/>
      <c r="V68" s="34"/>
      <c r="W68" s="34"/>
      <c r="Y68" s="34"/>
      <c r="Z68" s="34"/>
      <c r="AA68" s="34"/>
      <c r="AE68" s="33"/>
      <c r="AI68" s="34"/>
      <c r="AJ68" s="34"/>
      <c r="AK68" s="34"/>
      <c r="AL68" s="34"/>
      <c r="AM68" s="34"/>
      <c r="AN68" s="34"/>
      <c r="AO68" s="34"/>
      <c r="AP68" s="34"/>
      <c r="AQ68" s="34"/>
      <c r="AR68" s="34"/>
      <c r="AS68" s="34"/>
      <c r="AT68" s="34"/>
      <c r="AU68" s="34"/>
      <c r="AV68" s="34"/>
      <c r="AX68" s="34"/>
    </row>
    <row r="69" spans="16:51" ht="15" customHeight="1">
      <c r="P69" s="38"/>
      <c r="Q69" s="38"/>
      <c r="R69" s="34"/>
      <c r="S69" s="34"/>
      <c r="T69" s="34"/>
      <c r="U69" s="34"/>
      <c r="V69" s="34"/>
      <c r="W69" s="34"/>
      <c r="Y69" s="34"/>
      <c r="Z69" s="34"/>
      <c r="AA69" s="34"/>
      <c r="AE69" s="33"/>
      <c r="AJ69" s="34"/>
      <c r="AK69" s="34"/>
      <c r="AL69" s="34"/>
      <c r="AM69" s="34"/>
      <c r="AN69" s="34"/>
      <c r="AO69" s="34"/>
      <c r="AP69" s="34"/>
      <c r="AQ69" s="34"/>
      <c r="AR69" s="34"/>
      <c r="AS69" s="34"/>
      <c r="AT69" s="34"/>
      <c r="AU69" s="34"/>
      <c r="AV69" s="34"/>
      <c r="AX69" s="34"/>
    </row>
    <row r="70" spans="16:51" ht="15" customHeight="1">
      <c r="AD70" s="48"/>
      <c r="AJ70" s="34"/>
      <c r="AK70" s="34"/>
      <c r="AL70" s="34"/>
      <c r="AM70" s="34"/>
      <c r="AN70" s="34"/>
      <c r="AO70" s="34"/>
      <c r="AP70" s="34"/>
      <c r="AQ70" s="34"/>
      <c r="AR70" s="34"/>
      <c r="AS70" s="34"/>
      <c r="AT70" s="34"/>
      <c r="AU70" s="34"/>
      <c r="AV70" s="34"/>
      <c r="AX70" s="34"/>
    </row>
    <row r="71" spans="16:51" ht="15" customHeight="1">
      <c r="AJ71" s="34"/>
      <c r="AK71" s="34"/>
      <c r="AL71" s="34"/>
      <c r="AM71" s="34"/>
      <c r="AN71" s="34"/>
      <c r="AO71" s="34"/>
      <c r="AP71" s="34"/>
      <c r="AQ71" s="34"/>
      <c r="AR71" s="34"/>
      <c r="AS71" s="34"/>
      <c r="AT71" s="34"/>
      <c r="AU71" s="34"/>
      <c r="AV71" s="34"/>
      <c r="AX71" s="34"/>
    </row>
    <row r="72" spans="16:51" ht="15" customHeight="1">
      <c r="AJ72" s="34"/>
      <c r="AK72" s="34"/>
      <c r="AL72" s="34"/>
      <c r="AM72" s="34"/>
      <c r="AN72" s="34"/>
      <c r="AO72" s="34"/>
      <c r="AP72" s="34"/>
      <c r="AQ72" s="34"/>
      <c r="AR72" s="34"/>
      <c r="AS72" s="34"/>
      <c r="AT72" s="34"/>
      <c r="AU72" s="34"/>
      <c r="AV72" s="34"/>
      <c r="AX72" s="34"/>
    </row>
    <row r="73" spans="16:51" ht="15" customHeight="1">
      <c r="AJ73" s="34"/>
      <c r="AK73" s="34"/>
      <c r="AL73" s="34"/>
      <c r="AM73" s="34"/>
      <c r="AN73" s="34"/>
      <c r="AO73" s="34"/>
      <c r="AP73" s="34"/>
      <c r="AQ73" s="34"/>
      <c r="AR73" s="34"/>
      <c r="AS73" s="34"/>
      <c r="AT73" s="34"/>
      <c r="AU73" s="34"/>
      <c r="AV73" s="34"/>
      <c r="AX73" s="34"/>
    </row>
    <row r="74" spans="16:51" ht="15" customHeight="1">
      <c r="AJ74" s="34"/>
      <c r="AK74" s="34"/>
      <c r="AL74" s="34"/>
      <c r="AM74" s="34"/>
      <c r="AN74" s="34"/>
      <c r="AO74" s="34"/>
      <c r="AP74" s="34"/>
      <c r="AQ74" s="34"/>
      <c r="AR74" s="34"/>
      <c r="AS74" s="34"/>
      <c r="AT74" s="34"/>
      <c r="AU74" s="34"/>
      <c r="AV74" s="34"/>
      <c r="AX74" s="34"/>
    </row>
    <row r="75" spans="16:51" ht="15" customHeight="1">
      <c r="AJ75" s="34"/>
      <c r="AK75" s="34"/>
      <c r="AL75" s="34"/>
      <c r="AM75" s="34"/>
      <c r="AN75" s="34"/>
      <c r="AO75" s="34"/>
      <c r="AP75" s="34"/>
      <c r="AQ75" s="34"/>
      <c r="AR75" s="34"/>
      <c r="AS75" s="34"/>
      <c r="AT75" s="34"/>
      <c r="AU75" s="34"/>
      <c r="AV75" s="34"/>
      <c r="AX75" s="34"/>
    </row>
    <row r="76" spans="16:51" ht="15" customHeight="1">
      <c r="AJ76" s="34"/>
      <c r="AK76" s="34"/>
      <c r="AL76" s="34"/>
      <c r="AM76" s="34"/>
      <c r="AN76" s="34"/>
      <c r="AO76" s="34"/>
      <c r="AP76" s="34"/>
      <c r="AQ76" s="34"/>
      <c r="AR76" s="34"/>
      <c r="AS76" s="34"/>
      <c r="AT76" s="34"/>
      <c r="AU76" s="34"/>
      <c r="AV76" s="34"/>
      <c r="AX76" s="34"/>
    </row>
    <row r="77" spans="16:51" ht="15" customHeight="1">
      <c r="AJ77" s="34"/>
      <c r="AK77" s="34"/>
      <c r="AL77" s="34"/>
      <c r="AM77" s="34"/>
      <c r="AN77" s="34"/>
      <c r="AO77" s="34"/>
      <c r="AP77" s="34"/>
      <c r="AQ77" s="34"/>
      <c r="AR77" s="34"/>
      <c r="AS77" s="34"/>
      <c r="AT77" s="34"/>
      <c r="AU77" s="34"/>
      <c r="AV77" s="34"/>
      <c r="AX77" s="34"/>
    </row>
    <row r="78" spans="16:51">
      <c r="AJ78" s="34"/>
      <c r="AK78" s="34"/>
      <c r="AL78" s="34"/>
      <c r="AM78" s="34"/>
      <c r="AN78" s="34"/>
      <c r="AO78" s="34"/>
      <c r="AP78" s="34"/>
      <c r="AQ78" s="34"/>
      <c r="AR78" s="34"/>
      <c r="AS78" s="34"/>
      <c r="AT78" s="34"/>
      <c r="AU78" s="34"/>
      <c r="AV78" s="34"/>
      <c r="AY78" s="34"/>
    </row>
    <row r="79" spans="16:51" ht="15" customHeight="1">
      <c r="AJ79" s="34"/>
      <c r="AK79" s="34"/>
      <c r="AL79" s="34"/>
      <c r="AM79" s="34"/>
      <c r="AN79" s="34"/>
      <c r="AO79" s="34"/>
      <c r="AP79" s="34"/>
      <c r="AQ79" s="34"/>
      <c r="AR79" s="34"/>
      <c r="AS79" s="34"/>
      <c r="AT79" s="34"/>
      <c r="AU79" s="34"/>
      <c r="AV79" s="34"/>
      <c r="AW79" s="34"/>
      <c r="AY79" s="34"/>
    </row>
    <row r="80" spans="16:51" ht="15" customHeight="1">
      <c r="AJ80" s="34"/>
      <c r="AK80" s="34"/>
      <c r="AL80" s="34"/>
      <c r="AM80" s="34"/>
      <c r="AN80" s="34"/>
      <c r="AO80" s="34"/>
      <c r="AP80" s="34"/>
      <c r="AQ80" s="34"/>
      <c r="AR80" s="34"/>
      <c r="AS80" s="34"/>
      <c r="AT80" s="34"/>
      <c r="AU80" s="34"/>
      <c r="AV80" s="34"/>
      <c r="AW80" s="34"/>
      <c r="AY80" s="34"/>
    </row>
    <row r="81" spans="36:51" ht="15" customHeight="1">
      <c r="AJ81" s="34"/>
      <c r="AK81" s="34"/>
      <c r="AL81" s="34"/>
      <c r="AM81" s="34"/>
      <c r="AN81" s="34"/>
      <c r="AO81" s="34"/>
      <c r="AP81" s="34"/>
      <c r="AQ81" s="34"/>
      <c r="AR81" s="34"/>
      <c r="AS81" s="34"/>
      <c r="AT81" s="34"/>
      <c r="AU81" s="34"/>
      <c r="AV81" s="34"/>
      <c r="AW81" s="34"/>
      <c r="AY81" s="34"/>
    </row>
    <row r="82" spans="36:51" ht="15" customHeight="1">
      <c r="AJ82" s="34"/>
      <c r="AK82" s="34"/>
      <c r="AL82" s="34"/>
      <c r="AM82" s="34"/>
      <c r="AN82" s="34"/>
      <c r="AO82" s="34"/>
      <c r="AP82" s="34"/>
      <c r="AQ82" s="34"/>
      <c r="AR82" s="34"/>
      <c r="AS82" s="34"/>
      <c r="AT82" s="34"/>
      <c r="AU82" s="34"/>
      <c r="AV82" s="34"/>
      <c r="AW82" s="34"/>
      <c r="AY82" s="34"/>
    </row>
    <row r="83" spans="36:51" ht="15" customHeight="1">
      <c r="AJ83" s="34"/>
      <c r="AK83" s="34"/>
      <c r="AL83" s="34"/>
      <c r="AM83" s="34"/>
      <c r="AN83" s="34"/>
      <c r="AO83" s="34"/>
      <c r="AP83" s="34"/>
      <c r="AQ83" s="34"/>
      <c r="AR83" s="34"/>
      <c r="AS83" s="34"/>
      <c r="AT83" s="34"/>
      <c r="AU83" s="34"/>
      <c r="AV83" s="34"/>
      <c r="AW83" s="34"/>
      <c r="AY83" s="34"/>
    </row>
    <row r="84" spans="36:51" ht="15" customHeight="1">
      <c r="AJ84" s="34"/>
      <c r="AK84" s="34"/>
      <c r="AL84" s="34"/>
      <c r="AM84" s="34"/>
      <c r="AN84" s="34"/>
      <c r="AO84" s="34"/>
      <c r="AP84" s="34"/>
      <c r="AQ84" s="34"/>
      <c r="AR84" s="34"/>
      <c r="AS84" s="34"/>
      <c r="AT84" s="34"/>
      <c r="AU84" s="34"/>
      <c r="AV84" s="34"/>
      <c r="AW84" s="34"/>
      <c r="AY84" s="34"/>
    </row>
    <row r="85" spans="36:51" ht="15" customHeight="1">
      <c r="AJ85" s="34"/>
      <c r="AK85" s="34"/>
      <c r="AL85" s="34"/>
      <c r="AM85" s="34"/>
      <c r="AN85" s="34"/>
      <c r="AO85" s="34"/>
      <c r="AP85" s="34"/>
      <c r="AQ85" s="34"/>
      <c r="AR85" s="34"/>
      <c r="AS85" s="34"/>
      <c r="AT85" s="34"/>
      <c r="AU85" s="34"/>
      <c r="AV85" s="34"/>
      <c r="AW85" s="34"/>
      <c r="AY85" s="34"/>
    </row>
    <row r="86" spans="36:51" ht="15" customHeight="1">
      <c r="AJ86" s="34"/>
      <c r="AK86" s="34"/>
      <c r="AL86" s="34"/>
      <c r="AM86" s="34"/>
      <c r="AN86" s="34"/>
      <c r="AO86" s="34"/>
      <c r="AP86" s="34"/>
      <c r="AQ86" s="34"/>
      <c r="AR86" s="34"/>
      <c r="AS86" s="34"/>
      <c r="AT86" s="34"/>
      <c r="AU86" s="34"/>
      <c r="AV86" s="34"/>
      <c r="AW86" s="34"/>
      <c r="AY86" s="34"/>
    </row>
    <row r="87" spans="36:51" ht="15" customHeight="1">
      <c r="AJ87" s="34"/>
      <c r="AK87" s="34"/>
      <c r="AL87" s="34"/>
      <c r="AM87" s="34"/>
      <c r="AN87" s="34"/>
      <c r="AO87" s="34"/>
      <c r="AP87" s="34"/>
      <c r="AQ87" s="34"/>
      <c r="AR87" s="34"/>
      <c r="AS87" s="34"/>
      <c r="AT87" s="34"/>
      <c r="AU87" s="34"/>
      <c r="AV87" s="34"/>
      <c r="AW87" s="34"/>
      <c r="AY87" s="34"/>
    </row>
    <row r="88" spans="36:51" ht="15" customHeight="1">
      <c r="AJ88" s="34"/>
      <c r="AK88" s="34"/>
      <c r="AL88" s="34"/>
      <c r="AM88" s="34"/>
      <c r="AN88" s="34"/>
      <c r="AO88" s="34"/>
      <c r="AP88" s="34"/>
      <c r="AQ88" s="34"/>
      <c r="AR88" s="34"/>
      <c r="AS88" s="34"/>
      <c r="AT88" s="34"/>
      <c r="AU88" s="34"/>
      <c r="AV88" s="34"/>
      <c r="AW88" s="34"/>
      <c r="AY88" s="34"/>
    </row>
    <row r="89" spans="36:51" ht="15" customHeight="1">
      <c r="AJ89" s="34"/>
      <c r="AK89" s="34"/>
      <c r="AL89" s="34"/>
      <c r="AM89" s="34"/>
      <c r="AN89" s="34"/>
      <c r="AO89" s="34"/>
      <c r="AP89" s="34"/>
      <c r="AQ89" s="34"/>
      <c r="AR89" s="34"/>
      <c r="AS89" s="34"/>
      <c r="AT89" s="34"/>
      <c r="AU89" s="34"/>
      <c r="AV89" s="34"/>
      <c r="AW89" s="34"/>
      <c r="AY89" s="34"/>
    </row>
    <row r="90" spans="36:51" ht="15" customHeight="1">
      <c r="AJ90" s="34"/>
      <c r="AK90" s="34"/>
      <c r="AL90" s="34"/>
      <c r="AM90" s="34"/>
      <c r="AN90" s="34"/>
      <c r="AO90" s="34"/>
      <c r="AP90" s="34"/>
      <c r="AQ90" s="34"/>
      <c r="AR90" s="34"/>
      <c r="AS90" s="34"/>
      <c r="AT90" s="34"/>
      <c r="AU90" s="34"/>
      <c r="AV90" s="34"/>
      <c r="AW90" s="34"/>
      <c r="AY90" s="34"/>
    </row>
    <row r="91" spans="36:51" ht="15" customHeight="1">
      <c r="AJ91" s="34"/>
      <c r="AK91" s="34"/>
      <c r="AL91" s="34"/>
      <c r="AM91" s="34"/>
      <c r="AN91" s="34"/>
      <c r="AO91" s="34"/>
      <c r="AP91" s="34"/>
      <c r="AQ91" s="34"/>
      <c r="AR91" s="34"/>
      <c r="AS91" s="34"/>
      <c r="AT91" s="34"/>
      <c r="AU91" s="34"/>
      <c r="AV91" s="34"/>
      <c r="AW91" s="34"/>
      <c r="AY91" s="34"/>
    </row>
    <row r="92" spans="36:51" ht="15" customHeight="1">
      <c r="AS92" s="34"/>
      <c r="AT92" s="34"/>
      <c r="AU92" s="34"/>
      <c r="AV92" s="34"/>
      <c r="AW92" s="34"/>
      <c r="AY92" s="34"/>
    </row>
    <row r="93" spans="36:51" ht="15" customHeight="1">
      <c r="AS93" s="34"/>
      <c r="AT93" s="34"/>
      <c r="AU93" s="34"/>
      <c r="AV93" s="34"/>
      <c r="AW93" s="34"/>
      <c r="AY93" s="34"/>
    </row>
    <row r="94" spans="36:51" ht="15" customHeight="1">
      <c r="AS94" s="34"/>
      <c r="AT94" s="34"/>
      <c r="AU94" s="34"/>
      <c r="AV94" s="34"/>
      <c r="AW94" s="34"/>
      <c r="AY94" s="34"/>
    </row>
    <row r="95" spans="36:51" ht="15" customHeight="1">
      <c r="AS95" s="34"/>
      <c r="AT95" s="34"/>
      <c r="AU95" s="34"/>
      <c r="AV95" s="34"/>
      <c r="AW95" s="34"/>
      <c r="AY95" s="34"/>
    </row>
    <row r="96" spans="36:51" ht="15.75" customHeight="1">
      <c r="AS96" s="34"/>
      <c r="AT96" s="34"/>
      <c r="AU96" s="34"/>
      <c r="AV96" s="34"/>
      <c r="AW96" s="34"/>
      <c r="AY96" s="34"/>
    </row>
    <row r="97" spans="45:51">
      <c r="AS97" s="34"/>
      <c r="AT97" s="34"/>
      <c r="AU97" s="34"/>
      <c r="AV97" s="34"/>
      <c r="AW97" s="34"/>
      <c r="AY97" s="34"/>
    </row>
    <row r="98" spans="45:51">
      <c r="AS98" s="34"/>
      <c r="AT98" s="34"/>
      <c r="AU98" s="34"/>
      <c r="AV98" s="34"/>
      <c r="AW98" s="34"/>
      <c r="AY98" s="34"/>
    </row>
    <row r="99" spans="45:51">
      <c r="AT99" s="50"/>
      <c r="AU99" s="50"/>
      <c r="AV99" s="50"/>
      <c r="AW99" s="34"/>
      <c r="AY99" s="34"/>
    </row>
    <row r="100" spans="45:51" ht="15" customHeight="1">
      <c r="AW100" s="34"/>
      <c r="AY100" s="34"/>
    </row>
    <row r="101" spans="45:51">
      <c r="AW101" s="34"/>
    </row>
    <row r="102" spans="45:51">
      <c r="AW102" s="50"/>
    </row>
  </sheetData>
  <dataConsolidate topLabels="1">
    <dataRefs count="1">
      <dataRef ref="C8:D86" sheet="AHU 1" r:id="rId1"/>
    </dataRefs>
  </dataConsolidate>
  <mergeCells count="4">
    <mergeCell ref="B3:I3"/>
    <mergeCell ref="J3:R3"/>
    <mergeCell ref="S3:AJ3"/>
    <mergeCell ref="AL3:AO3"/>
  </mergeCells>
  <conditionalFormatting sqref="AQ5">
    <cfRule type="cellIs" dxfId="582" priority="2" operator="greaterThan">
      <formula>#REF!</formula>
    </cfRule>
  </conditionalFormatting>
  <conditionalFormatting sqref="AP5">
    <cfRule type="cellIs" dxfId="581" priority="1" operator="greaterThan">
      <formula>#REF!</formula>
    </cfRule>
  </conditionalFormatting>
  <conditionalFormatting sqref="AM5:AM6">
    <cfRule type="dataBar" priority="3">
      <dataBar>
        <cfvo type="min"/>
        <cfvo type="max"/>
        <color rgb="FF638EC6"/>
      </dataBar>
      <extLst>
        <ext xmlns:x14="http://schemas.microsoft.com/office/spreadsheetml/2009/9/main" uri="{B025F937-C7B1-47D3-B67F-A62EFF666E3E}">
          <x14:id>{48ECDD41-6C21-41F3-A866-98D339909E39}</x14:id>
        </ext>
      </extLst>
    </cfRule>
  </conditionalFormatting>
  <dataValidations count="4">
    <dataValidation type="whole" operator="greaterThan" allowBlank="1" showInputMessage="1" showErrorMessage="1" sqref="AN5:AO5" xr:uid="{A83AE4F0-455B-4ADF-BCDF-0DD92F669DA6}">
      <formula1>-1</formula1>
    </dataValidation>
    <dataValidation type="whole" operator="greaterThan" allowBlank="1" showInputMessage="1" showErrorMessage="1" sqref="AM5" xr:uid="{E8BE11FD-E467-426A-BC2F-DF6F43D2B56F}">
      <formula1>0</formula1>
    </dataValidation>
    <dataValidation type="decimal" operator="greaterThan" allowBlank="1" showInputMessage="1" showErrorMessage="1" sqref="G5" xr:uid="{4F08174D-ABDF-4836-B08F-714D92D9E9C1}">
      <formula1>1</formula1>
    </dataValidation>
    <dataValidation type="whole" operator="greaterThan" allowBlank="1" showInputMessage="1" showErrorMessage="1" sqref="F5" xr:uid="{45ABAC76-60AD-434B-9B82-BCD2D959721B}">
      <formula1>1</formula1>
    </dataValidation>
  </dataValidations>
  <pageMargins left="0.25" right="0.25" top="0.75" bottom="0.75" header="0.3" footer="0.3"/>
  <pageSetup paperSize="17" scale="47" fitToHeight="0" orientation="landscape" r:id="rId2"/>
  <headerFooter differentFirst="1" alignWithMargins="0">
    <firstHeader>&amp;L15175 - Design-Build Rady Children’s Hospital Murrieta Hub Medical Office Building, Murrieta, CA
AHU Systems and Airflows&amp;R&amp;D</first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193537" r:id="rId5" name="Button 1">
              <controlPr defaultSize="0" print="0" autoFill="0" autoPict="0" macro="[0]!AddRowsToTableWithUserInput" altText="HUMIDIFICATION">
                <anchor moveWithCells="1" sizeWithCells="1">
                  <from>
                    <xdr:col>1</xdr:col>
                    <xdr:colOff>784860</xdr:colOff>
                    <xdr:row>0</xdr:row>
                    <xdr:rowOff>15240</xdr:rowOff>
                  </from>
                  <to>
                    <xdr:col>4</xdr:col>
                    <xdr:colOff>563880</xdr:colOff>
                    <xdr:row>2</xdr:row>
                    <xdr:rowOff>22860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48ECDD41-6C21-41F3-A866-98D339909E39}">
            <x14:dataBar minLength="0" maxLength="100" border="1" negativeBarBorderColorSameAsPositive="0">
              <x14:cfvo type="autoMin"/>
              <x14:cfvo type="autoMax"/>
              <x14:borderColor rgb="FF638EC6"/>
              <x14:negativeFillColor rgb="FFFF0000"/>
              <x14:negativeBorderColor rgb="FFFF0000"/>
              <x14:axisColor rgb="FF000000"/>
            </x14:dataBar>
          </x14:cfRule>
          <xm:sqref>AM5:AM6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Title" prompt="Input message" xr:uid="{CA6C9DCA-01A6-42B8-BD45-E2AC7CE23900}">
          <x14:formula1>
            <xm:f>'DO NOT TOUCH'!$E$22:$E$25</xm:f>
          </x14:formula1>
          <xm:sqref>K5</xm:sqref>
        </x14:dataValidation>
        <x14:dataValidation type="list" allowBlank="1" showInputMessage="1" showErrorMessage="1" xr:uid="{B49A8639-94FA-4FF2-8B5E-6DE08BDCBD6F}">
          <x14:formula1>
            <xm:f>'ASHRAE Table'!$A$2:$A$93</xm:f>
          </x14:formula1>
          <xm:sqref>U5</xm:sqref>
        </x14:dataValidation>
        <x14:dataValidation type="list" allowBlank="1" showInputMessage="1" showErrorMessage="1" xr:uid="{A56FE74A-E713-4A12-81D8-16B49FD19B15}">
          <x14:formula1>
            <xm:f>'ASHRAE Table'!$J$2:$J$37</xm:f>
          </x14:formula1>
          <xm:sqref>S5</xm:sqref>
        </x14:dataValidation>
        <x14:dataValidation type="list" allowBlank="1" showInputMessage="1" showErrorMessage="1" promptTitle="Title" prompt="Input message" xr:uid="{84FAEA8A-C292-4802-9B0C-B88AD964F2DA}">
          <x14:formula1>
            <xm:f>'UMC Table 4-A'!$A$2:$A$132</xm:f>
          </x14:formula1>
          <xm:sqref>J5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84745-E1CA-4EFA-B818-7E3852D7B112}">
  <sheetPr codeName="Sheet2">
    <tabColor rgb="FF0070C0"/>
    <pageSetUpPr fitToPage="1"/>
  </sheetPr>
  <dimension ref="A2:BF35"/>
  <sheetViews>
    <sheetView showGridLines="0" topLeftCell="A7" zoomScale="85" zoomScaleNormal="85" workbookViewId="0">
      <selection activeCell="B13" sqref="B13"/>
    </sheetView>
  </sheetViews>
  <sheetFormatPr defaultColWidth="8.88671875" defaultRowHeight="13.2"/>
  <cols>
    <col min="1" max="1" width="10.44140625" bestFit="1" customWidth="1"/>
    <col min="2" max="2" width="10.44140625" customWidth="1"/>
    <col min="3" max="3" width="14.88671875" bestFit="1" customWidth="1"/>
    <col min="4" max="4" width="18.44140625" bestFit="1" customWidth="1"/>
    <col min="5" max="5" width="19.109375" bestFit="1" customWidth="1"/>
    <col min="6" max="6" width="15.6640625" bestFit="1" customWidth="1"/>
    <col min="7" max="7" width="9.33203125" customWidth="1"/>
    <col min="8" max="9" width="9.109375" customWidth="1"/>
    <col min="10" max="10" width="10" customWidth="1"/>
    <col min="11" max="11" width="9.109375" customWidth="1"/>
    <col min="12" max="12" width="12.88671875" bestFit="1" customWidth="1"/>
    <col min="13" max="14" width="9.109375" customWidth="1"/>
    <col min="15" max="15" width="9.6640625" customWidth="1"/>
    <col min="16" max="16" width="13.44140625" bestFit="1" customWidth="1"/>
    <col min="17" max="17" width="16.88671875" bestFit="1" customWidth="1"/>
    <col min="18" max="18" width="10" bestFit="1" customWidth="1"/>
    <col min="19" max="19" width="9.33203125" customWidth="1"/>
    <col min="20" max="20" width="9.6640625" customWidth="1"/>
    <col min="21" max="21" width="10.109375" bestFit="1" customWidth="1"/>
    <col min="22" max="22" width="10" customWidth="1"/>
    <col min="23" max="23" width="15.109375" bestFit="1" customWidth="1"/>
    <col min="24" max="24" width="16.88671875" bestFit="1" customWidth="1"/>
    <col min="25" max="26" width="9.44140625" customWidth="1"/>
    <col min="27" max="27" width="10" bestFit="1" customWidth="1"/>
    <col min="28" max="28" width="9.33203125" customWidth="1"/>
    <col min="29" max="29" width="9.6640625" customWidth="1"/>
    <col min="30" max="30" width="9.109375" customWidth="1"/>
    <col min="31" max="31" width="9.33203125" customWidth="1"/>
    <col min="32" max="32" width="9.6640625" customWidth="1"/>
    <col min="33" max="33" width="9.109375" customWidth="1"/>
    <col min="34" max="34" width="10" customWidth="1"/>
    <col min="35" max="35" width="14.6640625" customWidth="1"/>
    <col min="36" max="36" width="16.88671875" bestFit="1" customWidth="1"/>
    <col min="37" max="38" width="9.44140625" customWidth="1"/>
    <col min="39" max="39" width="12" bestFit="1" customWidth="1"/>
    <col min="40" max="40" width="13.6640625" bestFit="1" customWidth="1"/>
    <col min="41" max="41" width="12.6640625" bestFit="1" customWidth="1"/>
    <col min="42" max="42" width="14.109375" customWidth="1"/>
    <col min="43" max="45" width="14.5546875" bestFit="1" customWidth="1"/>
    <col min="46" max="46" width="17" customWidth="1"/>
    <col min="47" max="48" width="14.6640625" bestFit="1" customWidth="1"/>
    <col min="49" max="49" width="13.88671875" customWidth="1" collapsed="1"/>
    <col min="50" max="50" width="8.33203125" customWidth="1"/>
    <col min="51" max="51" width="16.88671875" bestFit="1" customWidth="1"/>
    <col min="52" max="52" width="17.33203125" bestFit="1" customWidth="1"/>
    <col min="53" max="55" width="16.88671875" bestFit="1" customWidth="1"/>
    <col min="56" max="56" width="14.109375" bestFit="1" customWidth="1"/>
    <col min="57" max="57" width="20.21875" hidden="1" customWidth="1"/>
    <col min="58" max="58" width="0" hidden="1" customWidth="1"/>
  </cols>
  <sheetData>
    <row r="2" spans="1:58">
      <c r="C2" s="23"/>
      <c r="D2" s="23"/>
      <c r="E2" s="23"/>
    </row>
    <row r="8" spans="1:58" s="17" customFormat="1" ht="12.9" customHeight="1">
      <c r="A8" s="513"/>
      <c r="B8" s="121"/>
      <c r="C8" s="516" t="s">
        <v>177</v>
      </c>
      <c r="D8" s="516"/>
      <c r="E8" s="516"/>
      <c r="F8" s="516"/>
      <c r="G8" s="516"/>
      <c r="H8" s="516"/>
      <c r="I8" s="516"/>
      <c r="J8" s="516"/>
      <c r="K8" s="516"/>
      <c r="L8" s="516"/>
      <c r="M8" s="516"/>
      <c r="N8" s="516"/>
      <c r="O8" s="516"/>
      <c r="P8" s="516" t="s">
        <v>178</v>
      </c>
      <c r="Q8" s="516"/>
      <c r="R8" s="516"/>
      <c r="S8" s="516"/>
      <c r="T8" s="516"/>
      <c r="U8" s="516"/>
      <c r="V8" s="516"/>
      <c r="W8" s="516"/>
      <c r="X8" s="516"/>
      <c r="Y8" s="516"/>
      <c r="Z8" s="516"/>
      <c r="AA8" s="516"/>
      <c r="AB8" s="516" t="s">
        <v>179</v>
      </c>
      <c r="AC8" s="516"/>
      <c r="AD8" s="516"/>
      <c r="AE8" s="516"/>
      <c r="AF8" s="516"/>
      <c r="AG8" s="516"/>
      <c r="AH8" s="516"/>
      <c r="AI8" s="516"/>
      <c r="AJ8" s="516"/>
      <c r="AK8" s="516"/>
      <c r="AL8" s="516"/>
      <c r="AM8" s="516"/>
      <c r="AN8" s="516" t="s">
        <v>180</v>
      </c>
      <c r="AO8" s="516"/>
      <c r="AP8" s="516"/>
      <c r="AQ8" s="516" t="str">
        <f>IF(INPUT_OUTPUTS!F8&lt;32,"FREEZE PROTECTION COIL","FREEZE PROTECTION COIL(NOT NEEDED)")</f>
        <v>FREEZE PROTECTION COIL</v>
      </c>
      <c r="AR8" s="516"/>
      <c r="AS8" s="516"/>
      <c r="AT8" s="516"/>
      <c r="AU8" s="516"/>
      <c r="AV8" s="516"/>
      <c r="AW8" s="516"/>
      <c r="AX8" s="516" t="s">
        <v>675</v>
      </c>
      <c r="AY8" s="516"/>
      <c r="AZ8" s="516"/>
      <c r="BA8" s="516"/>
      <c r="BB8" s="516"/>
      <c r="BC8" s="516"/>
      <c r="BD8" s="516"/>
    </row>
    <row r="9" spans="1:58" s="11" customFormat="1" ht="32.25" customHeight="1">
      <c r="A9" s="513"/>
      <c r="B9" s="510" t="s">
        <v>181</v>
      </c>
      <c r="C9" s="511"/>
      <c r="D9" s="511"/>
      <c r="E9" s="511"/>
      <c r="F9" s="511"/>
      <c r="G9" s="511"/>
      <c r="H9" s="511"/>
      <c r="I9" s="511"/>
      <c r="J9" s="511"/>
      <c r="K9" s="511"/>
      <c r="L9" s="511"/>
      <c r="M9" s="511"/>
      <c r="N9" s="512"/>
      <c r="O9" s="513" t="s">
        <v>182</v>
      </c>
      <c r="P9" s="514" t="s">
        <v>183</v>
      </c>
      <c r="Q9" s="514"/>
      <c r="R9" s="514"/>
      <c r="S9" s="514"/>
      <c r="T9" s="514"/>
      <c r="U9" s="514"/>
      <c r="V9" s="515" t="s">
        <v>707</v>
      </c>
      <c r="W9" s="515"/>
      <c r="X9" s="517" t="s">
        <v>184</v>
      </c>
      <c r="Y9" s="513" t="s">
        <v>185</v>
      </c>
      <c r="Z9" s="513"/>
      <c r="AA9" s="513"/>
      <c r="AB9" s="514" t="s">
        <v>183</v>
      </c>
      <c r="AC9" s="514"/>
      <c r="AD9" s="514"/>
      <c r="AE9" s="514"/>
      <c r="AF9" s="514"/>
      <c r="AG9" s="514"/>
      <c r="AH9" s="515" t="s">
        <v>708</v>
      </c>
      <c r="AI9" s="515"/>
      <c r="AJ9" s="517" t="s">
        <v>184</v>
      </c>
      <c r="AK9" s="513" t="s">
        <v>186</v>
      </c>
      <c r="AL9" s="513"/>
      <c r="AM9" s="513"/>
      <c r="AN9" s="517" t="s">
        <v>187</v>
      </c>
      <c r="AO9" s="514" t="s">
        <v>188</v>
      </c>
      <c r="AP9" s="514" t="s">
        <v>189</v>
      </c>
      <c r="AQ9" s="122"/>
      <c r="AR9" s="514" t="s">
        <v>190</v>
      </c>
      <c r="AS9" s="514"/>
      <c r="AT9" s="122"/>
      <c r="AU9" s="513" t="s">
        <v>191</v>
      </c>
      <c r="AV9" s="513"/>
      <c r="AW9" s="513"/>
      <c r="AX9" s="121"/>
      <c r="AY9" s="122"/>
      <c r="AZ9" s="122"/>
      <c r="BA9" s="122"/>
      <c r="BB9" s="122"/>
      <c r="BC9" s="122"/>
      <c r="BD9" s="123"/>
    </row>
    <row r="10" spans="1:58" s="11" customFormat="1" ht="25.5" customHeight="1">
      <c r="A10" s="513"/>
      <c r="B10" s="507" t="s">
        <v>192</v>
      </c>
      <c r="C10" s="508"/>
      <c r="D10" s="507" t="s">
        <v>193</v>
      </c>
      <c r="E10" s="509"/>
      <c r="F10" s="509"/>
      <c r="G10" s="508"/>
      <c r="H10" s="507" t="s">
        <v>194</v>
      </c>
      <c r="I10" s="509"/>
      <c r="J10" s="508"/>
      <c r="K10" s="507" t="s">
        <v>195</v>
      </c>
      <c r="L10" s="509"/>
      <c r="M10" s="508"/>
      <c r="N10" s="121" t="s">
        <v>196</v>
      </c>
      <c r="O10" s="513"/>
      <c r="P10" s="513" t="s">
        <v>197</v>
      </c>
      <c r="Q10" s="513"/>
      <c r="R10" s="513"/>
      <c r="S10" s="513" t="s">
        <v>198</v>
      </c>
      <c r="T10" s="513"/>
      <c r="U10" s="513"/>
      <c r="V10" s="121" t="s">
        <v>199</v>
      </c>
      <c r="W10" s="121" t="s">
        <v>200</v>
      </c>
      <c r="X10" s="517"/>
      <c r="Y10" s="513"/>
      <c r="Z10" s="513"/>
      <c r="AA10" s="513"/>
      <c r="AB10" s="513" t="s">
        <v>197</v>
      </c>
      <c r="AC10" s="513"/>
      <c r="AD10" s="513"/>
      <c r="AE10" s="513" t="s">
        <v>198</v>
      </c>
      <c r="AF10" s="513"/>
      <c r="AG10" s="513"/>
      <c r="AH10" s="121" t="s">
        <v>199</v>
      </c>
      <c r="AI10" s="121" t="s">
        <v>200</v>
      </c>
      <c r="AJ10" s="517"/>
      <c r="AK10" s="124" t="s">
        <v>52</v>
      </c>
      <c r="AL10" s="124" t="s">
        <v>201</v>
      </c>
      <c r="AM10" s="121" t="s">
        <v>202</v>
      </c>
      <c r="AN10" s="517"/>
      <c r="AO10" s="514"/>
      <c r="AP10" s="514"/>
      <c r="AQ10" s="121" t="s">
        <v>203</v>
      </c>
      <c r="AR10" s="121" t="s">
        <v>197</v>
      </c>
      <c r="AS10" s="121" t="s">
        <v>204</v>
      </c>
      <c r="AT10" s="121" t="s">
        <v>199</v>
      </c>
      <c r="AU10" s="124" t="s">
        <v>52</v>
      </c>
      <c r="AV10" s="124" t="s">
        <v>201</v>
      </c>
      <c r="AW10" s="121" t="s">
        <v>202</v>
      </c>
      <c r="AX10" s="121" t="s">
        <v>203</v>
      </c>
      <c r="AY10" s="121" t="s">
        <v>197</v>
      </c>
      <c r="AZ10" s="121" t="s">
        <v>204</v>
      </c>
      <c r="BA10" s="121" t="s">
        <v>199</v>
      </c>
      <c r="BB10" s="124" t="s">
        <v>52</v>
      </c>
      <c r="BC10" s="124" t="s">
        <v>201</v>
      </c>
      <c r="BD10" s="121" t="s">
        <v>1</v>
      </c>
      <c r="BE10" s="363" t="s">
        <v>1056</v>
      </c>
    </row>
    <row r="11" spans="1:58" s="10" customFormat="1" ht="15" thickBot="1">
      <c r="A11" s="125" t="s">
        <v>205</v>
      </c>
      <c r="B11" s="125" t="s">
        <v>785</v>
      </c>
      <c r="C11" s="126" t="s">
        <v>786</v>
      </c>
      <c r="D11" s="126" t="s">
        <v>787</v>
      </c>
      <c r="E11" s="126" t="s">
        <v>788</v>
      </c>
      <c r="F11" s="126" t="s">
        <v>206</v>
      </c>
      <c r="G11" s="126" t="s">
        <v>207</v>
      </c>
      <c r="H11" s="126" t="s">
        <v>208</v>
      </c>
      <c r="I11" s="127" t="s">
        <v>209</v>
      </c>
      <c r="J11" s="127" t="s">
        <v>210</v>
      </c>
      <c r="K11" s="126" t="s">
        <v>211</v>
      </c>
      <c r="L11" s="127" t="s">
        <v>212</v>
      </c>
      <c r="M11" s="127" t="s">
        <v>213</v>
      </c>
      <c r="N11" s="127" t="s">
        <v>214</v>
      </c>
      <c r="O11" s="126" t="s">
        <v>215</v>
      </c>
      <c r="P11" s="127" t="s">
        <v>216</v>
      </c>
      <c r="Q11" s="127" t="s">
        <v>217</v>
      </c>
      <c r="R11" s="127" t="s">
        <v>218</v>
      </c>
      <c r="S11" s="127" t="s">
        <v>219</v>
      </c>
      <c r="T11" s="127" t="s">
        <v>220</v>
      </c>
      <c r="U11" s="127" t="s">
        <v>221</v>
      </c>
      <c r="V11" s="126" t="s">
        <v>222</v>
      </c>
      <c r="W11" s="126" t="s">
        <v>223</v>
      </c>
      <c r="X11" s="128" t="s">
        <v>224</v>
      </c>
      <c r="Y11" s="128" t="s">
        <v>225</v>
      </c>
      <c r="Z11" s="128" t="s">
        <v>226</v>
      </c>
      <c r="AA11" s="128" t="s">
        <v>1</v>
      </c>
      <c r="AB11" s="127" t="s">
        <v>227</v>
      </c>
      <c r="AC11" s="127" t="s">
        <v>228</v>
      </c>
      <c r="AD11" s="127" t="s">
        <v>229</v>
      </c>
      <c r="AE11" s="127" t="s">
        <v>230</v>
      </c>
      <c r="AF11" s="127" t="s">
        <v>231</v>
      </c>
      <c r="AG11" s="127" t="s">
        <v>232</v>
      </c>
      <c r="AH11" s="126" t="s">
        <v>233</v>
      </c>
      <c r="AI11" s="126" t="s">
        <v>234</v>
      </c>
      <c r="AJ11" s="126" t="s">
        <v>235</v>
      </c>
      <c r="AK11" s="128" t="s">
        <v>236</v>
      </c>
      <c r="AL11" s="128" t="s">
        <v>237</v>
      </c>
      <c r="AM11" s="128" t="s">
        <v>238</v>
      </c>
      <c r="AN11" s="126" t="s">
        <v>239</v>
      </c>
      <c r="AO11" s="129" t="s">
        <v>240</v>
      </c>
      <c r="AP11" s="129" t="s">
        <v>241</v>
      </c>
      <c r="AQ11" s="126" t="s">
        <v>242</v>
      </c>
      <c r="AR11" s="127" t="s">
        <v>243</v>
      </c>
      <c r="AS11" s="127" t="s">
        <v>244</v>
      </c>
      <c r="AT11" s="126" t="s">
        <v>245</v>
      </c>
      <c r="AU11" s="128" t="s">
        <v>246</v>
      </c>
      <c r="AV11" s="128" t="s">
        <v>247</v>
      </c>
      <c r="AW11" s="128" t="s">
        <v>248</v>
      </c>
      <c r="AX11" s="128" t="s">
        <v>49</v>
      </c>
      <c r="AY11" s="127" t="s">
        <v>249</v>
      </c>
      <c r="AZ11" s="127" t="s">
        <v>250</v>
      </c>
      <c r="BA11" s="126" t="s">
        <v>251</v>
      </c>
      <c r="BB11" s="128" t="s">
        <v>673</v>
      </c>
      <c r="BC11" s="128" t="s">
        <v>674</v>
      </c>
      <c r="BD11" s="127" t="s">
        <v>252</v>
      </c>
      <c r="BE11" s="365" t="s">
        <v>1058</v>
      </c>
      <c r="BF11" s="366" t="s">
        <v>1059</v>
      </c>
    </row>
    <row r="12" spans="1:58" s="11" customFormat="1" ht="13.8" hidden="1">
      <c r="A12" s="130"/>
      <c r="B12" s="130"/>
      <c r="C12" s="131"/>
      <c r="D12" s="131"/>
      <c r="E12" s="131"/>
      <c r="F12" s="132">
        <v>78</v>
      </c>
      <c r="G12" s="132">
        <v>60</v>
      </c>
      <c r="H12" s="131"/>
      <c r="I12" s="123">
        <f>INPUT_OUTPUTS!$C$8</f>
        <v>90</v>
      </c>
      <c r="J12" s="123">
        <f>INPUT_OUTPUTS!$C$9</f>
        <v>65</v>
      </c>
      <c r="K12" s="131">
        <f>AHU_Schedules[[#This Row],[(CFM)3]]</f>
        <v>0</v>
      </c>
      <c r="L12" s="123">
        <f>INPUT_OUTPUTS!$C$10</f>
        <v>80</v>
      </c>
      <c r="M12" s="123">
        <f>INPUT_OUTPUTS!$C$11</f>
        <v>75</v>
      </c>
      <c r="N12" s="123">
        <f>INPUT_OUTPUTS!$F$8</f>
        <v>26</v>
      </c>
      <c r="O12" s="131">
        <f>E12+H12-C12</f>
        <v>0</v>
      </c>
      <c r="P12" s="123" t="e" cm="1">
        <f t="array" aca="1" ref="P12" ca="1">MixedAirTemp(AHU_Schedules[[#This Row],[(CFM)3]],AHU_Schedules[[#This Row],[(˚F db)4]],(AHU_Schedules[[#This Row],[MAX RET CFM]]-AHU_Schedules[[#This Row],[(CFM)10]]),AHU_Schedules[[#This Row],[(˚F db)]])</f>
        <v>#VALUE!</v>
      </c>
      <c r="Q12" s="123" t="e" cm="1">
        <f t="array" aca="1" ref="Q12" ca="1">MixedAirTemp(AHU_Schedules[[#This Row],[(CFM)3]],AHU_Schedules[[#This Row],[(˚F wb)5]],(AHU_Schedules[[#This Row],[MAX RET CFM]]-AHU_Schedules[[#This Row],[(CFM)10]]),AHU_Schedules[[#This Row],[(˚F wb)]])</f>
        <v>#VALUE!</v>
      </c>
      <c r="R12" s="123" t="e" cm="1">
        <f t="array" aca="1" ref="R12" ca="1">GetMoistAirEnthalpy(AHU_Schedules[[#This Row],[(˚F db)11]],(GetHumRatioFromTWetBulb(AHU_Schedules[[#This Row],[(˚F db)11]],AHU_Schedules[[#This Row],[(˚F wb)12]],GetStandardAtmPressure(INPUT_OUTPUTS!$G$6))))</f>
        <v>#N/A</v>
      </c>
      <c r="S12" s="133">
        <v>55</v>
      </c>
      <c r="T12" s="133">
        <v>50</v>
      </c>
      <c r="U12" s="123" cm="1">
        <f t="array" ref="U12">GetMoistAirEnthalpy(AHU_Schedules[[#This Row],[(˚F db)13]],(GetHumRatioFromTWetBulb(AHU_Schedules[[#This Row],[(˚F db)13]],AHU_Schedules[[#This Row],[(˚F wb)14]],GetStandardAtmPressure(INPUT_OUTPUTS!$G$6))))</f>
        <v>20.605706954600194</v>
      </c>
      <c r="V12" s="131" t="e">
        <f ca="1">C12*INPUT_OUTPUTS!$K$12*(P12-S12)</f>
        <v>#VALUE!</v>
      </c>
      <c r="W12" s="131" t="e">
        <f ca="1">INPUT_OUTPUTS!$K$13*C12*(R12-U12)</f>
        <v>#N/A</v>
      </c>
      <c r="X12" s="124" t="e">
        <f ca="1">IF(W12&lt;V12,"INVALID POINT",W12/12000)</f>
        <v>#N/A</v>
      </c>
      <c r="Y12" s="124">
        <f>INPUT_OUTPUTS!$C$14</f>
        <v>42</v>
      </c>
      <c r="Z12" s="124">
        <f>INPUT_OUTPUTS!$C$15</f>
        <v>56</v>
      </c>
      <c r="AA12" s="134" t="e">
        <f t="shared" ref="AA12" ca="1" si="0">W12/(500*(Z12-Y12))</f>
        <v>#N/A</v>
      </c>
      <c r="AB12" s="123" t="e">
        <f>F12*((E12-O12)/C12) + L12*(H12/C12)</f>
        <v>#DIV/0!</v>
      </c>
      <c r="AC12" s="123" t="e">
        <f>TRUNC(G12*((E12-O12)/C12) + M12*(H12/C12),1)</f>
        <v>#DIV/0!</v>
      </c>
      <c r="AD12" s="123" t="e" cm="1">
        <f t="array" ref="AD12">GetMoistAirEnthalpy(AHU_Schedules[[#This Row],[(˚F db)19]],(GetHumRatioFromTWetBulb(AHU_Schedules[[#This Row],[(˚F db)19]],AHU_Schedules[[#This Row],[(˚F wb)20]],GetStandardAtmPressure(INPUT_OUTPUTS!$G$6))))</f>
        <v>#N/A</v>
      </c>
      <c r="AE12" s="123">
        <f>AHU_Schedules[[#This Row],[(˚F db)13]]</f>
        <v>55</v>
      </c>
      <c r="AF12" s="123">
        <f>AHU_Schedules[[#This Row],[(˚F wb)14]]</f>
        <v>50</v>
      </c>
      <c r="AG12" s="123" cm="1">
        <f t="array" ref="AG12">GetMoistAirEnthalpy(AHU_Schedules[[#This Row],[(˚F db)22]],(GetHumRatioFromTWetBulb(AHU_Schedules[[#This Row],[(˚F db)22]],AHU_Schedules[[#This Row],[(˚F wb)23]],GetStandardAtmPressure(INPUT_OUTPUTS!$G$6))))</f>
        <v>20.605706954600194</v>
      </c>
      <c r="AH12" s="131" t="e">
        <f>C12*INPUT_OUTPUTS!$K$12*(AB12-AE12)</f>
        <v>#DIV/0!</v>
      </c>
      <c r="AI12" s="131" t="e">
        <f>INPUT_OUTPUTS!$K$13*C12*(AD12-AG12)</f>
        <v>#N/A</v>
      </c>
      <c r="AJ12" s="123" t="e">
        <f>IF(AI12&lt;AH12,"INVALID POINT",AI12/12000)</f>
        <v>#N/A</v>
      </c>
      <c r="AK12" s="124">
        <f>INPUT_OUTPUTS!$C$14</f>
        <v>42</v>
      </c>
      <c r="AL12" s="124">
        <f>INPUT_OUTPUTS!$C$15</f>
        <v>56</v>
      </c>
      <c r="AM12" s="134" t="e">
        <f t="shared" ref="AM12" si="1">AI12/(500*(AL12-AK12))</f>
        <v>#N/A</v>
      </c>
      <c r="AN12" s="123" t="e">
        <f>MAX(AJ12,X12)</f>
        <v>#N/A</v>
      </c>
      <c r="AO12" s="135" t="e">
        <f>C12/AJ12</f>
        <v>#N/A</v>
      </c>
      <c r="AP12" s="135" t="e">
        <f>MAX(AHU_Schedules[[#This Row],[GPM33]],AHU_Schedules[[#This Row],[GPM]])</f>
        <v>#N/A</v>
      </c>
      <c r="AQ12" s="131">
        <f>IF(AHU_Schedules[[#This Row],[(˚F db)9]]&lt;35,C12,"NOT NEEDED")</f>
        <v>0</v>
      </c>
      <c r="AR12" s="123">
        <f>IF(AHU_Schedules[[#This Row],[(˚F db)9]]&lt;35,AHU_Schedules[[#This Row],[(˚F db)9]],"NOT NEEDED")</f>
        <v>26</v>
      </c>
      <c r="AS12" s="123">
        <f>IF(AHU_Schedules[[#This Row],[(˚F db)9]]&lt;35,38,"NOT NEEDED")</f>
        <v>38</v>
      </c>
      <c r="AT12" s="131">
        <f>IF(AHU_Schedules[[#This Row],[(˚F db)9]]&lt;35,AQ12*INPUT_OUTPUTS!$K$12*(AS12-AR12)/1000,"NOT NEEDED")</f>
        <v>0</v>
      </c>
      <c r="AU12" s="124">
        <f>IF(AHU_Schedules[[#This Row],[(˚F db)9]]&lt;35,INPUT_OUTPUTS!$C$16,"NOT NEEDED")</f>
        <v>140</v>
      </c>
      <c r="AV12" s="124">
        <f>IF(AHU_Schedules[[#This Row],[(˚F db)9]]&lt;35,INPUT_OUTPUTS!$C$17,"NOT NEEDED")</f>
        <v>110</v>
      </c>
      <c r="AW12" s="134">
        <f>IF(AHU_Schedules[[#This Row],[(˚F db)9]]&lt;35,(AT12*1000)/(500*(AU12-AV12)),"NOT NEEDED")</f>
        <v>0</v>
      </c>
      <c r="AX12" s="136"/>
      <c r="AY12" s="123" t="e">
        <f>(AHU_Schedules[[#This Row],[(˚F db)9]]*AHU_Schedules[[#This Row],[(CFM)3]] + AHU_Schedules[[#This Row],[(˚F db)]]*(AHU_Schedules[[#This Row],[CFM]]-AHU_Schedules[[#This Row],[(CFM)3]]))/AHU_Schedules[[#This Row],[CFM]]</f>
        <v>#DIV/0!</v>
      </c>
      <c r="AZ12" s="123" t="e">
        <f>IF(AHU_Schedules[[#This Row],[(˚F db)43]]&lt;AHU_Schedules[[#This Row],[(˚F db)13]],AHU_Schedules[[#This Row],[(˚F db)13]],"NOT NEEDED")</f>
        <v>#DIV/0!</v>
      </c>
      <c r="BA12" s="137" t="e">
        <f>IF(AHU_Schedules[[#This Row],[(˚F db)43]]&lt;AHU_Schedules[[#This Row],[(˚F db)13]],(AHU_Schedules[[#This Row],[CFM]]*INPUT_OUTPUTS!$K$12*(AHU_Schedules[[#This Row],[(˚F db)45]]-AHU_Schedules[[#This Row],[(˚F db)43]]))/1000,"NOT NEEDED")</f>
        <v>#DIV/0!</v>
      </c>
      <c r="BB12" s="137" t="e">
        <f>IF(AHU_Schedules[[#This Row],[(˚F db)43]]&lt;AHU_Schedules[[#This Row],[(˚F db)13]],INPUT_OUTPUTS!$C$16,"NOT NEEDED")</f>
        <v>#DIV/0!</v>
      </c>
      <c r="BC12" s="137" t="e">
        <f>IF(AHU_Schedules[[#This Row],[(˚F db)43]]&lt;AHU_Schedules[[#This Row],[(˚F db)13]],INPUT_OUTPUTS!$C$17,"NOT NEEDED")</f>
        <v>#DIV/0!</v>
      </c>
      <c r="BD12" s="123" t="e">
        <f>IF(AHU_Schedules[[#This Row],[(˚F db)43]]&lt;AHU_Schedules[[#This Row],[(˚F db)13]],(AHU_Schedules[[#This Row],[(mbh)46]]*1000)/(500*(AHU_Schedules[[#This Row],[(˚F db)392]]-AHU_Schedules[[#This Row],[(˚F db)403]])),"NOT NEEDED")</f>
        <v>#DIV/0!</v>
      </c>
      <c r="BE12" s="364"/>
      <c r="BF12" s="364"/>
    </row>
    <row r="13" spans="1:58" ht="13.8">
      <c r="A13" s="469" t="s">
        <v>2714</v>
      </c>
      <c r="B13" s="130">
        <f ca="1">SUM(AH1Table4a_Ashrae[DESIGN SA (CFM)])*INPUT_OUTPUTS!$C$18</f>
        <v>2500</v>
      </c>
      <c r="C13" s="131">
        <f ca="1">SUM(AH1Table4a_Ashrae[DESIGN SA (CFM)])*INPUT_OUTPUTS!$C$18</f>
        <v>2500</v>
      </c>
      <c r="D13" s="131">
        <f ca="1">SUM(AH1Table4a_Ashrae[DESIGN RA (CFM)])*INPUT_OUTPUTS!$C$18</f>
        <v>2300</v>
      </c>
      <c r="E13" s="131">
        <f ca="1">SUM(AH1Table4a_Ashrae[DESIGN RA (CFM)])*INPUT_OUTPUTS!$C$18</f>
        <v>2300</v>
      </c>
      <c r="F13" s="470">
        <v>78</v>
      </c>
      <c r="G13" s="470">
        <v>60</v>
      </c>
      <c r="H13" s="131">
        <f>SUM(AH1Table4a_Ashrae[DESIGN OA (CFM)],'AH1'!$AR$3)*INPUT_OUTPUTS!$C$18</f>
        <v>100</v>
      </c>
      <c r="I13" s="123">
        <f>INPUT_OUTPUTS!$C$8</f>
        <v>90</v>
      </c>
      <c r="J13" s="123">
        <f>INPUT_OUTPUTS!$C$9</f>
        <v>65</v>
      </c>
      <c r="K13" s="131">
        <f>AHU_Schedules[[#This Row],[(CFM)3]]</f>
        <v>100</v>
      </c>
      <c r="L13" s="123">
        <f>INPUT_OUTPUTS!$C$10</f>
        <v>80</v>
      </c>
      <c r="M13" s="123">
        <f>INPUT_OUTPUTS!$C$11</f>
        <v>75</v>
      </c>
      <c r="N13" s="123">
        <f>INPUT_OUTPUTS!$F$8</f>
        <v>26</v>
      </c>
      <c r="O13" s="131">
        <f ca="1">E13+H13-C13</f>
        <v>-100</v>
      </c>
      <c r="P13" s="123" cm="1">
        <f t="array" aca="1" ref="P13" ca="1">MixedAirTemp(AHU_Schedules[[#This Row],[(CFM)3]],AHU_Schedules[[#This Row],[(˚F db)4]],(AHU_Schedules[[#This Row],[MAX RET CFM]]-AHU_Schedules[[#This Row],[(CFM)10]]),AHU_Schedules[[#This Row],[(˚F db)]])</f>
        <v>78.48</v>
      </c>
      <c r="Q13" s="123" cm="1">
        <f t="array" aca="1" ref="Q13" ca="1">MixedAirTemp(AHU_Schedules[[#This Row],[(CFM)3]],AHU_Schedules[[#This Row],[(˚F wb)5]],(AHU_Schedules[[#This Row],[MAX RET CFM]]-AHU_Schedules[[#This Row],[(CFM)10]]),AHU_Schedules[[#This Row],[(˚F wb)]])</f>
        <v>60.2</v>
      </c>
      <c r="R13" s="123" cm="1">
        <f t="array" aca="1" ref="R13" ca="1">GetMoistAirEnthalpy(AHU_Schedules[[#This Row],[(˚F db)11]],(GetHumRatioFromTWetBulb(AHU_Schedules[[#This Row],[(˚F db)11]],AHU_Schedules[[#This Row],[(˚F wb)12]],GetStandardAtmPressure(INPUT_OUTPUTS!$G$6))))</f>
        <v>26.958962747040712</v>
      </c>
      <c r="S13" s="471">
        <v>55</v>
      </c>
      <c r="T13" s="471">
        <v>50</v>
      </c>
      <c r="U13" s="123" cm="1">
        <f t="array" ref="U13">GetMoistAirEnthalpy(AHU_Schedules[[#This Row],[(˚F db)13]],(GetHumRatioFromTWetBulb(AHU_Schedules[[#This Row],[(˚F db)13]],AHU_Schedules[[#This Row],[(˚F wb)14]],GetStandardAtmPressure(INPUT_OUTPUTS!$G$6))))</f>
        <v>20.605706954600194</v>
      </c>
      <c r="V13" s="131">
        <f ca="1">C13*INPUT_OUTPUTS!$K$12*(P13-S13)</f>
        <v>60115.303140249329</v>
      </c>
      <c r="W13" s="131">
        <f ca="1">INPUT_OUTPUTS!$K$13*C13*(R13-U13)</f>
        <v>67775.393577886614</v>
      </c>
      <c r="X13" s="124">
        <f ca="1">IF(W13&lt;V13,"INVALID POINT",W13/12000)</f>
        <v>5.6479494648238848</v>
      </c>
      <c r="Y13" s="124">
        <f>INPUT_OUTPUTS!$C$14</f>
        <v>42</v>
      </c>
      <c r="Z13" s="124">
        <f>INPUT_OUTPUTS!$C$15</f>
        <v>56</v>
      </c>
      <c r="AA13" s="134">
        <f ca="1">W13/(500*(Z13-Y13))</f>
        <v>9.6821990825552309</v>
      </c>
      <c r="AB13" s="123">
        <f ca="1">F13*((E13-O13)/C13) + L13*(H13/C13)</f>
        <v>78.08</v>
      </c>
      <c r="AC13" s="123">
        <f ca="1">TRUNC(G13*((E13-O13)/C13) + M13*(H13/C13),1)</f>
        <v>60.6</v>
      </c>
      <c r="AD13" s="123" cm="1">
        <f t="array" aca="1" ref="AD13" ca="1">GetMoistAirEnthalpy(AHU_Schedules[[#This Row],[(˚F db)19]],(GetHumRatioFromTWetBulb(AHU_Schedules[[#This Row],[(˚F db)19]],AHU_Schedules[[#This Row],[(˚F wb)20]],GetStandardAtmPressure(INPUT_OUTPUTS!$G$6))))</f>
        <v>27.24489249708985</v>
      </c>
      <c r="AE13" s="123">
        <f>AHU_Schedules[[#This Row],[(˚F db)13]]</f>
        <v>55</v>
      </c>
      <c r="AF13" s="123">
        <f>AHU_Schedules[[#This Row],[(˚F wb)14]]</f>
        <v>50</v>
      </c>
      <c r="AG13" s="123" cm="1">
        <f t="array" ref="AG13">GetMoistAirEnthalpy(AHU_Schedules[[#This Row],[(˚F db)22]],(GetHumRatioFromTWetBulb(AHU_Schedules[[#This Row],[(˚F db)22]],AHU_Schedules[[#This Row],[(˚F wb)23]],GetStandardAtmPressure(INPUT_OUTPUTS!$G$6))))</f>
        <v>20.605706954600194</v>
      </c>
      <c r="AH13" s="131">
        <f ca="1">C13*INPUT_OUTPUTS!$K$12*(AB13-AE13)</f>
        <v>59091.1923542144</v>
      </c>
      <c r="AI13" s="131">
        <f ca="1">INPUT_OUTPUTS!$K$13*C13*(AD13-AG13)</f>
        <v>70825.640880736508</v>
      </c>
      <c r="AJ13" s="123">
        <f ca="1">IF(AI13&lt;AH13,"INVALID POINT",AI13/12000)</f>
        <v>5.9021367400613753</v>
      </c>
      <c r="AK13" s="124">
        <f>INPUT_OUTPUTS!$C$14</f>
        <v>42</v>
      </c>
      <c r="AL13" s="124">
        <f>INPUT_OUTPUTS!$C$15</f>
        <v>56</v>
      </c>
      <c r="AM13" s="134">
        <f ca="1">AI13/(500*(AL13-AK13))</f>
        <v>10.117948697248073</v>
      </c>
      <c r="AN13" s="123">
        <f ca="1">MAX(AJ13,X13)</f>
        <v>5.9021367400613753</v>
      </c>
      <c r="AO13" s="135">
        <f ca="1">C13/AJ13</f>
        <v>423.57541177095857</v>
      </c>
      <c r="AP13" s="135">
        <f ca="1">MAX(AHU_Schedules[[#This Row],[GPM33]],AHU_Schedules[[#This Row],[GPM]])</f>
        <v>10.117948697248073</v>
      </c>
      <c r="AQ13" s="131">
        <f ca="1">IF(AHU_Schedules[[#This Row],[(˚F db)9]]&lt;35,C13,"NOT NEEDED")</f>
        <v>2500</v>
      </c>
      <c r="AR13" s="123">
        <f>IF(AHU_Schedules[[#This Row],[(˚F db)9]]&lt;35,AHU_Schedules[[#This Row],[(˚F db)9]],"NOT NEEDED")</f>
        <v>26</v>
      </c>
      <c r="AS13" s="472">
        <f>IF(AHU_Schedules[[#This Row],[(˚F db)9]]&lt;35,38,"NOT NEEDED")</f>
        <v>38</v>
      </c>
      <c r="AT13" s="131">
        <f ca="1">IF(AHU_Schedules[[#This Row],[(˚F db)9]]&lt;35,AQ13*INPUT_OUTPUTS!$K$12*(AS13-AR13)/1000,"NOT NEEDED")</f>
        <v>30.72332358104735</v>
      </c>
      <c r="AU13" s="124">
        <f>IF(AHU_Schedules[[#This Row],[(˚F db)9]]&lt;35,INPUT_OUTPUTS!$C$16,"NOT NEEDED")</f>
        <v>140</v>
      </c>
      <c r="AV13" s="124">
        <f>IF(AHU_Schedules[[#This Row],[(˚F db)9]]&lt;35,INPUT_OUTPUTS!$C$17,"NOT NEEDED")</f>
        <v>110</v>
      </c>
      <c r="AW13" s="134">
        <f ca="1">IF(AHU_Schedules[[#This Row],[(˚F db)9]]&lt;35,(AT13*1000)/(500*(AU13-AV13)),"NOT NEEDED")</f>
        <v>2.0482215720698234</v>
      </c>
      <c r="AX13" s="136" t="s">
        <v>404</v>
      </c>
      <c r="AY13" s="472" t="s">
        <v>404</v>
      </c>
      <c r="AZ13" s="136" t="s">
        <v>404</v>
      </c>
      <c r="BA13" s="137" t="s">
        <v>404</v>
      </c>
      <c r="BB13" s="137" t="s">
        <v>404</v>
      </c>
      <c r="BC13" s="137" t="s">
        <v>404</v>
      </c>
      <c r="BD13" s="123" t="s">
        <v>404</v>
      </c>
      <c r="BE13" s="137"/>
      <c r="BF13" s="137"/>
    </row>
    <row r="14" spans="1:58" ht="15.6" thickBot="1">
      <c r="A14" s="18" t="s">
        <v>74</v>
      </c>
      <c r="B14" s="18"/>
      <c r="C14" s="19">
        <f ca="1">SUBTOTAL(109,AHU_Schedules[MAX CFM])</f>
        <v>2500</v>
      </c>
      <c r="D14" s="19"/>
      <c r="E14" s="18"/>
      <c r="F14" s="20"/>
      <c r="G14" s="20"/>
      <c r="H14" s="18"/>
      <c r="I14" s="18"/>
      <c r="J14" s="18"/>
      <c r="K14" s="18"/>
      <c r="L14" s="18"/>
      <c r="M14" s="18"/>
      <c r="N14" s="18"/>
      <c r="O14" s="18"/>
      <c r="P14" s="18"/>
      <c r="Q14" s="18"/>
      <c r="R14" s="18"/>
      <c r="S14" s="18"/>
      <c r="T14" s="18"/>
      <c r="U14" s="18"/>
      <c r="V14" s="18"/>
      <c r="W14" s="18"/>
      <c r="X14" s="18"/>
      <c r="Y14" s="18"/>
      <c r="Z14" s="18"/>
      <c r="AA14" s="21">
        <f ca="1">SUBTOTAL(109,AHU_Schedules[GPM])</f>
        <v>9.6821990825552309</v>
      </c>
      <c r="AB14" s="18"/>
      <c r="AC14" s="18"/>
      <c r="AD14" s="18"/>
      <c r="AE14" s="20"/>
      <c r="AF14" s="20"/>
      <c r="AG14" s="18"/>
      <c r="AH14" s="18"/>
      <c r="AI14" s="18"/>
      <c r="AJ14" s="18"/>
      <c r="AK14" s="18"/>
      <c r="AL14" s="18"/>
      <c r="AM14" s="29">
        <f ca="1">SUBTOTAL(109,AHU_Schedules[GPM33])</f>
        <v>10.117948697248073</v>
      </c>
      <c r="AN14" s="21">
        <f ca="1">SUBTOTAL(109,AHU_Schedules[(Tons)34])</f>
        <v>5.9021367400613753</v>
      </c>
      <c r="AO14" s="18"/>
      <c r="AP14" s="22">
        <f ca="1">SUBTOTAL(109,AHU_Schedules[GPM MAX])</f>
        <v>10.117948697248073</v>
      </c>
      <c r="AQ14" s="18"/>
      <c r="AR14" s="18"/>
      <c r="AS14" s="18"/>
      <c r="AT14" s="22">
        <f ca="1">SUBTOTAL(109,AHU_Schedules[(MBH)])</f>
        <v>30.72332358104735</v>
      </c>
      <c r="AU14" s="18"/>
      <c r="AV14" s="18"/>
      <c r="AW14" s="21">
        <f ca="1">SUBTOTAL(109,AHU_Schedules[GPM41])</f>
        <v>2.0482215720698234</v>
      </c>
      <c r="AX14" s="21"/>
      <c r="AY14" s="18"/>
      <c r="AZ14" s="18"/>
      <c r="BA14" s="21">
        <f>SUBTOTAL(109,AHU_Schedules[(mbh)46])</f>
        <v>0</v>
      </c>
      <c r="BB14" s="21"/>
      <c r="BC14" s="21"/>
      <c r="BD14" s="21">
        <f>SUBTOTAL(109,AHU_Schedules[(˚F db)46])</f>
        <v>0</v>
      </c>
      <c r="BE14" s="18"/>
      <c r="BF14" s="18"/>
    </row>
    <row r="15" spans="1:58" ht="13.8" thickTop="1">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c r="BA15" s="70"/>
      <c r="BB15" s="70"/>
      <c r="BC15" s="70"/>
      <c r="BD15" s="70"/>
    </row>
    <row r="16" spans="1:58" ht="13.8">
      <c r="T16" s="13"/>
      <c r="U16" s="13"/>
      <c r="AA16" s="14"/>
      <c r="AF16" s="13"/>
      <c r="AG16" s="13"/>
      <c r="AJ16" s="14"/>
      <c r="AM16" s="14"/>
      <c r="AN16" s="14"/>
      <c r="AW16" s="14"/>
      <c r="AX16" s="14"/>
    </row>
    <row r="17" spans="1:56" ht="13.8">
      <c r="T17" s="13"/>
      <c r="U17" s="13"/>
      <c r="AA17" s="14"/>
      <c r="AF17" s="13"/>
      <c r="AG17" s="13"/>
      <c r="AJ17" s="14"/>
      <c r="AM17" s="14"/>
      <c r="AN17" s="14"/>
      <c r="AW17" s="14"/>
      <c r="AX17" s="14"/>
    </row>
    <row r="18" spans="1:56">
      <c r="C18" s="11"/>
      <c r="D18" s="11"/>
    </row>
    <row r="21" spans="1:56">
      <c r="O21" s="14"/>
    </row>
    <row r="22" spans="1:56">
      <c r="L22" s="335"/>
    </row>
    <row r="23" spans="1:56">
      <c r="H23" s="11" t="s">
        <v>676</v>
      </c>
    </row>
    <row r="24" spans="1:56">
      <c r="G24" s="84"/>
    </row>
    <row r="28" spans="1:56">
      <c r="G28" s="23"/>
    </row>
    <row r="31" spans="1:56">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row>
    <row r="32" spans="1:56">
      <c r="A32" s="15"/>
      <c r="B32" s="15"/>
      <c r="C32" s="15"/>
      <c r="D32" s="15"/>
    </row>
    <row r="33" spans="1:17">
      <c r="A33" s="15"/>
      <c r="B33" s="15"/>
      <c r="C33" s="14"/>
      <c r="D33" s="14"/>
      <c r="Q33" s="11"/>
    </row>
    <row r="34" spans="1:17">
      <c r="A34" s="15"/>
      <c r="B34" s="15"/>
    </row>
    <row r="35" spans="1:17">
      <c r="Q35" s="11"/>
    </row>
  </sheetData>
  <mergeCells count="30">
    <mergeCell ref="AX8:BD8"/>
    <mergeCell ref="A8:A10"/>
    <mergeCell ref="AP9:AP10"/>
    <mergeCell ref="AN8:AP8"/>
    <mergeCell ref="C8:O8"/>
    <mergeCell ref="P8:AA8"/>
    <mergeCell ref="AK9:AM9"/>
    <mergeCell ref="AJ9:AJ10"/>
    <mergeCell ref="AE10:AG10"/>
    <mergeCell ref="H10:J10"/>
    <mergeCell ref="K10:M10"/>
    <mergeCell ref="X9:X10"/>
    <mergeCell ref="AB8:AM8"/>
    <mergeCell ref="AN9:AN10"/>
    <mergeCell ref="AO9:AO10"/>
    <mergeCell ref="AQ8:AW8"/>
    <mergeCell ref="B10:C10"/>
    <mergeCell ref="D10:G10"/>
    <mergeCell ref="B9:N9"/>
    <mergeCell ref="AU9:AW9"/>
    <mergeCell ref="AB9:AG9"/>
    <mergeCell ref="AB10:AD10"/>
    <mergeCell ref="Y9:AA10"/>
    <mergeCell ref="P10:R10"/>
    <mergeCell ref="S10:U10"/>
    <mergeCell ref="AR9:AS9"/>
    <mergeCell ref="V9:W9"/>
    <mergeCell ref="O9:O10"/>
    <mergeCell ref="P9:U9"/>
    <mergeCell ref="AH9:AI9"/>
  </mergeCells>
  <phoneticPr fontId="16" type="noConversion"/>
  <dataValidations count="1">
    <dataValidation type="decimal" operator="greaterThan" allowBlank="1" showInputMessage="1" showErrorMessage="1" sqref="S12:T13 F12:G13" xr:uid="{E55AABDB-8177-CF49-90BF-0581F35F9A38}">
      <formula1>1</formula1>
    </dataValidation>
  </dataValidations>
  <pageMargins left="0.25" right="0.25" top="0.75" bottom="0.75" header="0.3" footer="0.3"/>
  <pageSetup paperSize="119" scale="31" fitToHeight="0" orientation="landscape"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3E217-EE4C-45AD-B395-A3403072F6CA}">
  <sheetPr codeName="Sheet22">
    <tabColor rgb="FFC00000"/>
  </sheetPr>
  <dimension ref="A1:AE742"/>
  <sheetViews>
    <sheetView zoomScale="106" zoomScaleNormal="106" workbookViewId="0">
      <pane xSplit="3" ySplit="1" topLeftCell="D596" activePane="bottomRight" state="frozen"/>
      <selection pane="topRight" activeCell="C1" sqref="C1"/>
      <selection pane="bottomLeft" activeCell="A2" sqref="A2"/>
      <selection pane="bottomRight" activeCell="A598" sqref="A598"/>
    </sheetView>
  </sheetViews>
  <sheetFormatPr defaultColWidth="9.109375" defaultRowHeight="13.8"/>
  <cols>
    <col min="1" max="1" width="40.109375" style="390" customWidth="1"/>
    <col min="2" max="2" width="15.6640625" style="390" customWidth="1"/>
    <col min="3" max="3" width="28.6640625" style="386" customWidth="1"/>
    <col min="4" max="4" width="27.33203125" style="391" bestFit="1" customWidth="1"/>
    <col min="5" max="5" width="27.44140625" style="380" bestFit="1" customWidth="1"/>
    <col min="6" max="6" width="25.77734375" style="380" customWidth="1"/>
    <col min="7" max="7" width="26" style="380" customWidth="1"/>
    <col min="8" max="8" width="30.109375" style="380" customWidth="1"/>
    <col min="9" max="9" width="29.88671875" style="380" customWidth="1"/>
    <col min="10" max="10" width="18" style="380" customWidth="1"/>
    <col min="11" max="11" width="16.33203125" style="380" customWidth="1"/>
    <col min="12" max="12" width="31" style="380" customWidth="1"/>
    <col min="13" max="13" width="22.33203125" style="380" customWidth="1"/>
    <col min="14" max="14" width="16.33203125" style="380" customWidth="1"/>
    <col min="15" max="15" width="26" style="391" customWidth="1"/>
    <col min="16" max="16" width="25.33203125" style="380" customWidth="1"/>
    <col min="17" max="17" width="15.5546875" style="392" customWidth="1"/>
    <col min="18" max="18" width="56.88671875" style="384" customWidth="1"/>
    <col min="19" max="19" width="56.6640625" style="384" customWidth="1"/>
    <col min="20" max="20" width="39.88671875" style="393" customWidth="1"/>
    <col min="21" max="21" width="35.109375" style="384" customWidth="1"/>
    <col min="22" max="22" width="37.109375" style="384" customWidth="1"/>
    <col min="23" max="23" width="40" style="393" customWidth="1"/>
    <col min="24" max="24" width="31.33203125" style="394" customWidth="1"/>
    <col min="25" max="26" width="31.6640625" style="394" customWidth="1"/>
    <col min="27" max="16384" width="9.109375" style="379"/>
  </cols>
  <sheetData>
    <row r="1" spans="1:26" s="378" customFormat="1" ht="20.399999999999999">
      <c r="A1" s="395" t="s">
        <v>2686</v>
      </c>
      <c r="B1" s="395" t="s">
        <v>1082</v>
      </c>
      <c r="C1" s="396" t="s">
        <v>1083</v>
      </c>
      <c r="D1" s="397" t="s">
        <v>1084</v>
      </c>
      <c r="E1" s="396" t="s">
        <v>1085</v>
      </c>
      <c r="F1" s="396" t="s">
        <v>1086</v>
      </c>
      <c r="G1" s="396" t="s">
        <v>1087</v>
      </c>
      <c r="H1" s="396" t="s">
        <v>1088</v>
      </c>
      <c r="I1" s="396" t="s">
        <v>1089</v>
      </c>
      <c r="J1" s="396" t="s">
        <v>1090</v>
      </c>
      <c r="K1" s="396" t="s">
        <v>1091</v>
      </c>
      <c r="L1" s="396" t="s">
        <v>1092</v>
      </c>
      <c r="M1" s="397" t="s">
        <v>1093</v>
      </c>
      <c r="N1" s="396" t="s">
        <v>1094</v>
      </c>
      <c r="O1" s="395" t="s">
        <v>1095</v>
      </c>
      <c r="P1" s="396" t="s">
        <v>1096</v>
      </c>
      <c r="Q1" s="396" t="s">
        <v>1097</v>
      </c>
      <c r="R1" s="397" t="s">
        <v>1098</v>
      </c>
      <c r="S1" s="396" t="s">
        <v>1099</v>
      </c>
      <c r="T1" s="396" t="s">
        <v>1100</v>
      </c>
      <c r="U1" s="397" t="s">
        <v>1101</v>
      </c>
      <c r="V1" s="396" t="s">
        <v>1102</v>
      </c>
      <c r="W1" s="398" t="s">
        <v>1103</v>
      </c>
      <c r="X1" s="399" t="s">
        <v>1104</v>
      </c>
    </row>
    <row r="2" spans="1:26" s="378" customFormat="1" ht="61.2">
      <c r="A2" s="400" t="s">
        <v>1105</v>
      </c>
      <c r="B2" s="401"/>
      <c r="C2" s="402"/>
      <c r="D2" s="403"/>
      <c r="E2" s="402"/>
      <c r="F2" s="402"/>
      <c r="G2" s="402"/>
      <c r="H2" s="402"/>
      <c r="I2" s="402"/>
      <c r="J2" s="402"/>
      <c r="K2" s="402"/>
      <c r="L2" s="402"/>
      <c r="M2" s="403"/>
      <c r="N2" s="402"/>
      <c r="O2" s="401"/>
      <c r="P2" s="404" t="s">
        <v>1106</v>
      </c>
      <c r="Q2" s="402"/>
      <c r="R2" s="403"/>
      <c r="S2" s="402"/>
      <c r="T2" s="402"/>
      <c r="U2" s="403"/>
      <c r="V2" s="402"/>
      <c r="W2" s="405"/>
      <c r="X2" s="406"/>
    </row>
    <row r="3" spans="1:26" ht="81.75" customHeight="1">
      <c r="A3" s="400" t="s">
        <v>1107</v>
      </c>
      <c r="B3" s="401" t="s">
        <v>1108</v>
      </c>
      <c r="C3" s="402" t="s">
        <v>1109</v>
      </c>
      <c r="D3" s="403">
        <v>75</v>
      </c>
      <c r="E3" s="402">
        <v>68</v>
      </c>
      <c r="F3" s="402">
        <v>60</v>
      </c>
      <c r="G3" s="402">
        <v>30</v>
      </c>
      <c r="H3" s="402">
        <v>12</v>
      </c>
      <c r="I3" s="402">
        <v>12</v>
      </c>
      <c r="J3" s="402" t="s">
        <v>1110</v>
      </c>
      <c r="K3" s="402">
        <v>40</v>
      </c>
      <c r="L3" s="402" t="s">
        <v>1111</v>
      </c>
      <c r="M3" s="403" t="s">
        <v>419</v>
      </c>
      <c r="N3" s="402" t="s">
        <v>1112</v>
      </c>
      <c r="O3" s="401"/>
      <c r="P3" s="405" t="s">
        <v>1113</v>
      </c>
      <c r="Q3" s="405" t="s">
        <v>1114</v>
      </c>
      <c r="R3" s="407" t="s">
        <v>1115</v>
      </c>
      <c r="S3" s="405" t="s">
        <v>1116</v>
      </c>
      <c r="T3" s="405"/>
      <c r="U3" s="407"/>
      <c r="V3" s="408"/>
      <c r="W3" s="405"/>
      <c r="X3" s="406"/>
      <c r="Y3" s="379"/>
      <c r="Z3" s="379"/>
    </row>
    <row r="4" spans="1:26" ht="40.799999999999997">
      <c r="A4" s="400" t="s">
        <v>1105</v>
      </c>
      <c r="B4" s="401" t="s">
        <v>1117</v>
      </c>
      <c r="C4" s="402" t="s">
        <v>1118</v>
      </c>
      <c r="D4" s="403">
        <v>75</v>
      </c>
      <c r="E4" s="402">
        <v>68</v>
      </c>
      <c r="F4" s="402">
        <v>60</v>
      </c>
      <c r="G4" s="402">
        <v>30</v>
      </c>
      <c r="H4" s="402">
        <v>6</v>
      </c>
      <c r="I4" s="402">
        <v>6</v>
      </c>
      <c r="J4" s="402" t="s">
        <v>1110</v>
      </c>
      <c r="K4" s="402">
        <v>40</v>
      </c>
      <c r="L4" s="402" t="s">
        <v>1111</v>
      </c>
      <c r="M4" s="403" t="s">
        <v>419</v>
      </c>
      <c r="N4" s="402" t="s">
        <v>1112</v>
      </c>
      <c r="O4" s="401"/>
      <c r="P4" s="405" t="s">
        <v>1119</v>
      </c>
      <c r="Q4" s="405"/>
      <c r="R4" s="407"/>
      <c r="S4" s="405"/>
      <c r="T4" s="405"/>
      <c r="U4" s="407"/>
      <c r="V4" s="408"/>
      <c r="W4" s="405"/>
      <c r="X4" s="406"/>
      <c r="Y4" s="379"/>
      <c r="Z4" s="379"/>
    </row>
    <row r="5" spans="1:26" ht="51">
      <c r="A5" s="409" t="s">
        <v>1120</v>
      </c>
      <c r="B5" s="410" t="s">
        <v>1121</v>
      </c>
      <c r="C5" s="402" t="s">
        <v>1122</v>
      </c>
      <c r="D5" s="403">
        <v>75</v>
      </c>
      <c r="E5" s="402">
        <v>70</v>
      </c>
      <c r="F5" s="402">
        <v>60</v>
      </c>
      <c r="G5" s="410">
        <v>30</v>
      </c>
      <c r="H5" s="402">
        <v>10</v>
      </c>
      <c r="I5" s="402" t="s">
        <v>404</v>
      </c>
      <c r="J5" s="402" t="s">
        <v>1123</v>
      </c>
      <c r="K5" s="402">
        <v>40</v>
      </c>
      <c r="L5" s="402" t="s">
        <v>1124</v>
      </c>
      <c r="M5" s="403" t="s">
        <v>419</v>
      </c>
      <c r="N5" s="402" t="s">
        <v>1112</v>
      </c>
      <c r="O5" s="411"/>
      <c r="P5" s="405" t="s">
        <v>1125</v>
      </c>
      <c r="Q5" s="405"/>
      <c r="R5" s="407"/>
      <c r="S5" s="405"/>
      <c r="T5" s="405"/>
      <c r="U5" s="407"/>
      <c r="V5" s="408"/>
      <c r="W5" s="405"/>
      <c r="X5" s="406"/>
      <c r="Y5" s="379"/>
      <c r="Z5" s="379"/>
    </row>
    <row r="6" spans="1:26" ht="51">
      <c r="A6" s="409" t="s">
        <v>1120</v>
      </c>
      <c r="B6" s="410" t="s">
        <v>1126</v>
      </c>
      <c r="C6" s="402" t="s">
        <v>1127</v>
      </c>
      <c r="D6" s="403">
        <v>75</v>
      </c>
      <c r="E6" s="402">
        <v>70</v>
      </c>
      <c r="F6" s="402">
        <v>60</v>
      </c>
      <c r="G6" s="410">
        <v>30</v>
      </c>
      <c r="H6" s="402">
        <v>10</v>
      </c>
      <c r="I6" s="402" t="s">
        <v>404</v>
      </c>
      <c r="J6" s="402" t="s">
        <v>1123</v>
      </c>
      <c r="K6" s="402">
        <v>40</v>
      </c>
      <c r="L6" s="402" t="s">
        <v>1124</v>
      </c>
      <c r="M6" s="403" t="s">
        <v>419</v>
      </c>
      <c r="N6" s="402" t="s">
        <v>1112</v>
      </c>
      <c r="O6" s="411"/>
      <c r="P6" s="405" t="s">
        <v>1125</v>
      </c>
      <c r="Q6" s="405"/>
      <c r="R6" s="407"/>
      <c r="S6" s="405"/>
      <c r="T6" s="405"/>
      <c r="U6" s="407"/>
      <c r="V6" s="408"/>
      <c r="W6" s="405"/>
      <c r="X6" s="406"/>
      <c r="Y6" s="379"/>
      <c r="Z6" s="379"/>
    </row>
    <row r="7" spans="1:26" ht="51">
      <c r="A7" s="409" t="s">
        <v>1120</v>
      </c>
      <c r="B7" s="410" t="s">
        <v>1128</v>
      </c>
      <c r="C7" s="402" t="s">
        <v>1129</v>
      </c>
      <c r="D7" s="403">
        <v>75</v>
      </c>
      <c r="E7" s="402">
        <v>70</v>
      </c>
      <c r="F7" s="402">
        <v>60</v>
      </c>
      <c r="G7" s="410">
        <v>30</v>
      </c>
      <c r="H7" s="402">
        <v>10</v>
      </c>
      <c r="I7" s="402" t="s">
        <v>404</v>
      </c>
      <c r="J7" s="402" t="s">
        <v>1123</v>
      </c>
      <c r="K7" s="402">
        <v>40</v>
      </c>
      <c r="L7" s="402" t="s">
        <v>1124</v>
      </c>
      <c r="M7" s="403" t="s">
        <v>419</v>
      </c>
      <c r="N7" s="402" t="s">
        <v>1112</v>
      </c>
      <c r="O7" s="411"/>
      <c r="P7" s="405" t="s">
        <v>1125</v>
      </c>
      <c r="Q7" s="405"/>
      <c r="R7" s="407"/>
      <c r="S7" s="405"/>
      <c r="T7" s="405"/>
      <c r="U7" s="407"/>
      <c r="V7" s="408"/>
      <c r="W7" s="405"/>
      <c r="X7" s="406"/>
      <c r="Y7" s="379"/>
      <c r="Z7" s="379"/>
    </row>
    <row r="8" spans="1:26" ht="51">
      <c r="A8" s="409" t="s">
        <v>1120</v>
      </c>
      <c r="B8" s="410" t="s">
        <v>1130</v>
      </c>
      <c r="C8" s="402" t="s">
        <v>1131</v>
      </c>
      <c r="D8" s="403">
        <v>75</v>
      </c>
      <c r="E8" s="402">
        <v>70</v>
      </c>
      <c r="F8" s="402">
        <v>60</v>
      </c>
      <c r="G8" s="410">
        <v>30</v>
      </c>
      <c r="H8" s="402">
        <v>10</v>
      </c>
      <c r="I8" s="402" t="s">
        <v>404</v>
      </c>
      <c r="J8" s="402" t="s">
        <v>1123</v>
      </c>
      <c r="K8" s="402">
        <v>40</v>
      </c>
      <c r="L8" s="402" t="s">
        <v>1124</v>
      </c>
      <c r="M8" s="403" t="s">
        <v>419</v>
      </c>
      <c r="N8" s="402" t="s">
        <v>1112</v>
      </c>
      <c r="O8" s="411"/>
      <c r="P8" s="405" t="s">
        <v>1125</v>
      </c>
      <c r="Q8" s="405"/>
      <c r="R8" s="407"/>
      <c r="S8" s="405"/>
      <c r="T8" s="405"/>
      <c r="U8" s="407"/>
      <c r="V8" s="408"/>
      <c r="W8" s="405"/>
      <c r="X8" s="406"/>
      <c r="Y8" s="379"/>
      <c r="Z8" s="379"/>
    </row>
    <row r="9" spans="1:26" ht="20.399999999999999">
      <c r="A9" s="409" t="s">
        <v>1120</v>
      </c>
      <c r="B9" s="410" t="s">
        <v>1132</v>
      </c>
      <c r="C9" s="410" t="s">
        <v>1133</v>
      </c>
      <c r="D9" s="403" t="s">
        <v>404</v>
      </c>
      <c r="E9" s="402" t="s">
        <v>404</v>
      </c>
      <c r="F9" s="402" t="s">
        <v>404</v>
      </c>
      <c r="G9" s="410" t="s">
        <v>404</v>
      </c>
      <c r="H9" s="402">
        <v>10</v>
      </c>
      <c r="I9" s="402" t="s">
        <v>404</v>
      </c>
      <c r="J9" s="402" t="s">
        <v>1123</v>
      </c>
      <c r="K9" s="402">
        <v>40</v>
      </c>
      <c r="L9" s="402" t="s">
        <v>1134</v>
      </c>
      <c r="M9" s="403" t="s">
        <v>420</v>
      </c>
      <c r="N9" s="402" t="s">
        <v>1112</v>
      </c>
      <c r="O9" s="411"/>
      <c r="P9" s="405"/>
      <c r="Q9" s="405"/>
      <c r="R9" s="407"/>
      <c r="S9" s="405"/>
      <c r="T9" s="405"/>
      <c r="U9" s="407"/>
      <c r="V9" s="408"/>
      <c r="W9" s="405"/>
      <c r="X9" s="406"/>
      <c r="Y9" s="379"/>
      <c r="Z9" s="379"/>
    </row>
    <row r="10" spans="1:26">
      <c r="A10" s="409" t="s">
        <v>1120</v>
      </c>
      <c r="B10" s="410" t="s">
        <v>1135</v>
      </c>
      <c r="C10" s="410" t="s">
        <v>1136</v>
      </c>
      <c r="D10" s="403">
        <v>75</v>
      </c>
      <c r="E10" s="402">
        <v>70</v>
      </c>
      <c r="F10" s="402">
        <v>60</v>
      </c>
      <c r="G10" s="410">
        <v>30</v>
      </c>
      <c r="H10" s="402">
        <v>4</v>
      </c>
      <c r="I10" s="402">
        <v>2</v>
      </c>
      <c r="J10" s="402" t="s">
        <v>1137</v>
      </c>
      <c r="K10" s="402">
        <v>40</v>
      </c>
      <c r="L10" s="402" t="s">
        <v>1138</v>
      </c>
      <c r="M10" s="403" t="s">
        <v>419</v>
      </c>
      <c r="N10" s="402" t="s">
        <v>1139</v>
      </c>
      <c r="O10" s="411"/>
      <c r="P10" s="405"/>
      <c r="Q10" s="405"/>
      <c r="R10" s="407"/>
      <c r="S10" s="405"/>
      <c r="T10" s="405"/>
      <c r="U10" s="407"/>
      <c r="V10" s="408"/>
      <c r="W10" s="405"/>
      <c r="X10" s="406"/>
      <c r="Y10" s="379"/>
      <c r="Z10" s="379"/>
    </row>
    <row r="11" spans="1:26" ht="91.8">
      <c r="A11" s="409" t="s">
        <v>1120</v>
      </c>
      <c r="B11" s="410" t="s">
        <v>1140</v>
      </c>
      <c r="C11" s="410" t="s">
        <v>1141</v>
      </c>
      <c r="D11" s="403">
        <v>75</v>
      </c>
      <c r="E11" s="402">
        <v>70</v>
      </c>
      <c r="F11" s="402">
        <v>60</v>
      </c>
      <c r="G11" s="410">
        <v>30</v>
      </c>
      <c r="H11" s="402">
        <v>4</v>
      </c>
      <c r="I11" s="402">
        <v>2</v>
      </c>
      <c r="J11" s="402" t="s">
        <v>1137</v>
      </c>
      <c r="K11" s="402">
        <v>35</v>
      </c>
      <c r="L11" s="402" t="s">
        <v>1138</v>
      </c>
      <c r="M11" s="403" t="s">
        <v>419</v>
      </c>
      <c r="N11" s="402" t="s">
        <v>1139</v>
      </c>
      <c r="O11" s="411"/>
      <c r="P11" s="405" t="s">
        <v>1142</v>
      </c>
      <c r="Q11" s="405"/>
      <c r="R11" s="407"/>
      <c r="S11" s="405"/>
      <c r="T11" s="405"/>
      <c r="U11" s="407"/>
      <c r="V11" s="408"/>
      <c r="W11" s="405"/>
      <c r="X11" s="406"/>
      <c r="Y11" s="379"/>
      <c r="Z11" s="379"/>
    </row>
    <row r="12" spans="1:26" ht="81.599999999999994">
      <c r="A12" s="409" t="s">
        <v>1120</v>
      </c>
      <c r="B12" s="410" t="s">
        <v>1143</v>
      </c>
      <c r="C12" s="410" t="s">
        <v>1144</v>
      </c>
      <c r="D12" s="403">
        <v>75</v>
      </c>
      <c r="E12" s="402">
        <v>70</v>
      </c>
      <c r="F12" s="402">
        <v>60</v>
      </c>
      <c r="G12" s="410">
        <v>30</v>
      </c>
      <c r="H12" s="402">
        <v>4</v>
      </c>
      <c r="I12" s="402">
        <v>2</v>
      </c>
      <c r="J12" s="402" t="s">
        <v>1137</v>
      </c>
      <c r="K12" s="402">
        <v>40</v>
      </c>
      <c r="L12" s="402" t="s">
        <v>1145</v>
      </c>
      <c r="M12" s="403" t="s">
        <v>419</v>
      </c>
      <c r="N12" s="402" t="s">
        <v>1112</v>
      </c>
      <c r="O12" s="411"/>
      <c r="P12" s="405" t="s">
        <v>1146</v>
      </c>
      <c r="Q12" s="405"/>
      <c r="R12" s="407"/>
      <c r="S12" s="405"/>
      <c r="T12" s="405"/>
      <c r="U12" s="407"/>
      <c r="V12" s="408"/>
      <c r="W12" s="405"/>
      <c r="X12" s="406"/>
      <c r="Y12" s="379"/>
      <c r="Z12" s="379"/>
    </row>
    <row r="13" spans="1:26" ht="40.799999999999997">
      <c r="A13" s="412" t="s">
        <v>1120</v>
      </c>
      <c r="B13" s="410" t="s">
        <v>1147</v>
      </c>
      <c r="C13" s="410" t="s">
        <v>1148</v>
      </c>
      <c r="D13" s="403">
        <v>75</v>
      </c>
      <c r="E13" s="402">
        <v>70</v>
      </c>
      <c r="F13" s="402">
        <v>60</v>
      </c>
      <c r="G13" s="410">
        <v>30</v>
      </c>
      <c r="H13" s="402">
        <v>6</v>
      </c>
      <c r="I13" s="402">
        <v>2</v>
      </c>
      <c r="J13" s="402" t="s">
        <v>1137</v>
      </c>
      <c r="K13" s="402">
        <v>40</v>
      </c>
      <c r="L13" s="402" t="s">
        <v>1124</v>
      </c>
      <c r="M13" s="403" t="s">
        <v>419</v>
      </c>
      <c r="N13" s="402" t="s">
        <v>1149</v>
      </c>
      <c r="O13" s="401"/>
      <c r="P13" s="405" t="s">
        <v>1150</v>
      </c>
      <c r="Q13" s="405" t="s">
        <v>1151</v>
      </c>
      <c r="R13" s="407"/>
      <c r="S13" s="405"/>
      <c r="T13" s="405"/>
      <c r="U13" s="407"/>
      <c r="V13" s="408"/>
      <c r="W13" s="405"/>
      <c r="X13" s="406"/>
      <c r="Y13" s="379"/>
      <c r="Z13" s="379"/>
    </row>
    <row r="14" spans="1:26" ht="40.799999999999997">
      <c r="A14" s="412" t="s">
        <v>1120</v>
      </c>
      <c r="B14" s="410" t="s">
        <v>1152</v>
      </c>
      <c r="C14" s="410" t="s">
        <v>1153</v>
      </c>
      <c r="D14" s="403">
        <v>75</v>
      </c>
      <c r="E14" s="402">
        <v>70</v>
      </c>
      <c r="F14" s="402">
        <v>60</v>
      </c>
      <c r="G14" s="410">
        <v>30</v>
      </c>
      <c r="H14" s="402">
        <v>6</v>
      </c>
      <c r="I14" s="402">
        <v>2</v>
      </c>
      <c r="J14" s="402" t="s">
        <v>1137</v>
      </c>
      <c r="K14" s="402">
        <v>40</v>
      </c>
      <c r="L14" s="402" t="s">
        <v>1124</v>
      </c>
      <c r="M14" s="403" t="s">
        <v>419</v>
      </c>
      <c r="N14" s="402" t="s">
        <v>1149</v>
      </c>
      <c r="O14" s="401"/>
      <c r="P14" s="405" t="s">
        <v>1150</v>
      </c>
      <c r="Q14" s="405" t="s">
        <v>1151</v>
      </c>
      <c r="R14" s="407"/>
      <c r="S14" s="405"/>
      <c r="T14" s="405"/>
      <c r="U14" s="407"/>
      <c r="V14" s="408"/>
      <c r="W14" s="405"/>
      <c r="X14" s="406"/>
      <c r="Y14" s="379"/>
      <c r="Z14" s="379"/>
    </row>
    <row r="15" spans="1:26" ht="40.799999999999997">
      <c r="A15" s="412" t="s">
        <v>1120</v>
      </c>
      <c r="B15" s="410" t="s">
        <v>1154</v>
      </c>
      <c r="C15" s="410" t="s">
        <v>1155</v>
      </c>
      <c r="D15" s="403">
        <v>75</v>
      </c>
      <c r="E15" s="402">
        <v>70</v>
      </c>
      <c r="F15" s="402">
        <v>60</v>
      </c>
      <c r="G15" s="410">
        <v>30</v>
      </c>
      <c r="H15" s="402">
        <v>6</v>
      </c>
      <c r="I15" s="402">
        <v>2</v>
      </c>
      <c r="J15" s="402" t="s">
        <v>1137</v>
      </c>
      <c r="K15" s="402">
        <v>40</v>
      </c>
      <c r="L15" s="402" t="s">
        <v>1124</v>
      </c>
      <c r="M15" s="403" t="s">
        <v>419</v>
      </c>
      <c r="N15" s="402" t="s">
        <v>1149</v>
      </c>
      <c r="O15" s="401"/>
      <c r="P15" s="405" t="s">
        <v>1150</v>
      </c>
      <c r="Q15" s="405" t="s">
        <v>1151</v>
      </c>
      <c r="R15" s="413"/>
      <c r="S15" s="405"/>
      <c r="T15" s="405"/>
      <c r="U15" s="407"/>
      <c r="V15" s="408"/>
      <c r="W15" s="405"/>
      <c r="X15" s="406"/>
      <c r="Y15" s="379"/>
      <c r="Z15" s="379"/>
    </row>
    <row r="16" spans="1:26" ht="40.799999999999997">
      <c r="A16" s="409" t="s">
        <v>1120</v>
      </c>
      <c r="B16" s="410" t="s">
        <v>1156</v>
      </c>
      <c r="C16" s="410" t="s">
        <v>1157</v>
      </c>
      <c r="D16" s="403">
        <v>75</v>
      </c>
      <c r="E16" s="402">
        <v>70</v>
      </c>
      <c r="F16" s="402">
        <v>60</v>
      </c>
      <c r="G16" s="410">
        <v>30</v>
      </c>
      <c r="H16" s="402">
        <v>6</v>
      </c>
      <c r="I16" s="402">
        <v>2</v>
      </c>
      <c r="J16" s="402" t="s">
        <v>1110</v>
      </c>
      <c r="K16" s="402">
        <v>40</v>
      </c>
      <c r="L16" s="402" t="s">
        <v>1124</v>
      </c>
      <c r="M16" s="403" t="s">
        <v>419</v>
      </c>
      <c r="N16" s="402" t="s">
        <v>1149</v>
      </c>
      <c r="O16" s="401"/>
      <c r="P16" s="405" t="s">
        <v>1158</v>
      </c>
      <c r="Q16" s="405"/>
      <c r="R16" s="407"/>
      <c r="S16" s="405"/>
      <c r="T16" s="405"/>
      <c r="U16" s="407"/>
      <c r="V16" s="408"/>
      <c r="W16" s="405"/>
      <c r="X16" s="406"/>
      <c r="Y16" s="379"/>
      <c r="Z16" s="379"/>
    </row>
    <row r="17" spans="1:26" s="380" customFormat="1" ht="40.799999999999997">
      <c r="A17" s="412" t="s">
        <v>1120</v>
      </c>
      <c r="B17" s="410" t="s">
        <v>1159</v>
      </c>
      <c r="C17" s="410" t="s">
        <v>1160</v>
      </c>
      <c r="D17" s="403">
        <v>75</v>
      </c>
      <c r="E17" s="402">
        <v>70</v>
      </c>
      <c r="F17" s="402">
        <v>60</v>
      </c>
      <c r="G17" s="410">
        <v>30</v>
      </c>
      <c r="H17" s="402">
        <v>6</v>
      </c>
      <c r="I17" s="402">
        <v>2</v>
      </c>
      <c r="J17" s="402" t="s">
        <v>1110</v>
      </c>
      <c r="K17" s="402">
        <v>40</v>
      </c>
      <c r="L17" s="402" t="s">
        <v>1124</v>
      </c>
      <c r="M17" s="403" t="s">
        <v>419</v>
      </c>
      <c r="N17" s="402" t="s">
        <v>1149</v>
      </c>
      <c r="O17" s="401"/>
      <c r="P17" s="405" t="s">
        <v>1150</v>
      </c>
      <c r="Q17" s="405" t="s">
        <v>1161</v>
      </c>
      <c r="R17" s="407"/>
      <c r="S17" s="405"/>
      <c r="T17" s="405"/>
      <c r="U17" s="407"/>
      <c r="V17" s="408"/>
      <c r="W17" s="405"/>
      <c r="X17" s="406"/>
    </row>
    <row r="18" spans="1:26" ht="20.399999999999999">
      <c r="A18" s="412" t="s">
        <v>1120</v>
      </c>
      <c r="B18" s="410" t="s">
        <v>1162</v>
      </c>
      <c r="C18" s="410" t="s">
        <v>1163</v>
      </c>
      <c r="D18" s="403" t="s">
        <v>404</v>
      </c>
      <c r="E18" s="402" t="s">
        <v>404</v>
      </c>
      <c r="F18" s="402" t="s">
        <v>404</v>
      </c>
      <c r="G18" s="402" t="s">
        <v>404</v>
      </c>
      <c r="H18" s="402">
        <v>10</v>
      </c>
      <c r="I18" s="402">
        <v>2</v>
      </c>
      <c r="J18" s="402" t="s">
        <v>1110</v>
      </c>
      <c r="K18" s="402">
        <v>40</v>
      </c>
      <c r="L18" s="402" t="s">
        <v>1124</v>
      </c>
      <c r="M18" s="403" t="s">
        <v>420</v>
      </c>
      <c r="N18" s="402" t="s">
        <v>1112</v>
      </c>
      <c r="O18" s="401"/>
      <c r="P18" s="405" t="s">
        <v>1164</v>
      </c>
      <c r="Q18" s="405"/>
      <c r="R18" s="407"/>
      <c r="S18" s="405"/>
      <c r="T18" s="405"/>
      <c r="U18" s="407"/>
      <c r="V18" s="408"/>
      <c r="W18" s="405"/>
      <c r="X18" s="406"/>
      <c r="Y18" s="379"/>
      <c r="Z18" s="379"/>
    </row>
    <row r="19" spans="1:26" s="380" customFormat="1" ht="234.6">
      <c r="A19" s="412" t="s">
        <v>1120</v>
      </c>
      <c r="B19" s="410" t="s">
        <v>1165</v>
      </c>
      <c r="C19" s="410" t="s">
        <v>1166</v>
      </c>
      <c r="D19" s="403">
        <v>86</v>
      </c>
      <c r="E19" s="402">
        <v>40</v>
      </c>
      <c r="F19" s="402" t="s">
        <v>404</v>
      </c>
      <c r="G19" s="402" t="s">
        <v>404</v>
      </c>
      <c r="H19" s="402">
        <v>6</v>
      </c>
      <c r="I19" s="402" t="s">
        <v>404</v>
      </c>
      <c r="J19" s="402" t="s">
        <v>1137</v>
      </c>
      <c r="K19" s="402">
        <v>45</v>
      </c>
      <c r="L19" s="402" t="s">
        <v>1138</v>
      </c>
      <c r="M19" s="403" t="s">
        <v>419</v>
      </c>
      <c r="N19" s="402" t="s">
        <v>1112</v>
      </c>
      <c r="O19" s="411"/>
      <c r="P19" s="405" t="s">
        <v>1167</v>
      </c>
      <c r="Q19" s="405" t="s">
        <v>1168</v>
      </c>
      <c r="R19" s="407" t="s">
        <v>1169</v>
      </c>
      <c r="S19" s="405" t="s">
        <v>1170</v>
      </c>
      <c r="T19" s="405"/>
      <c r="U19" s="407"/>
      <c r="V19" s="408"/>
      <c r="W19" s="405"/>
      <c r="X19" s="406"/>
    </row>
    <row r="20" spans="1:26" s="380" customFormat="1" ht="61.2">
      <c r="A20" s="412" t="s">
        <v>1120</v>
      </c>
      <c r="B20" s="410" t="s">
        <v>1171</v>
      </c>
      <c r="C20" s="410" t="s">
        <v>1172</v>
      </c>
      <c r="D20" s="403">
        <v>75</v>
      </c>
      <c r="E20" s="402">
        <v>70</v>
      </c>
      <c r="F20" s="402">
        <v>60</v>
      </c>
      <c r="G20" s="410">
        <v>30</v>
      </c>
      <c r="H20" s="402">
        <v>4</v>
      </c>
      <c r="I20" s="402">
        <v>2</v>
      </c>
      <c r="J20" s="402" t="s">
        <v>1137</v>
      </c>
      <c r="K20" s="402">
        <v>40</v>
      </c>
      <c r="L20" s="402" t="s">
        <v>1138</v>
      </c>
      <c r="M20" s="403" t="s">
        <v>419</v>
      </c>
      <c r="N20" s="402" t="s">
        <v>1139</v>
      </c>
      <c r="O20" s="401"/>
      <c r="P20" s="405" t="s">
        <v>1173</v>
      </c>
      <c r="Q20" s="405"/>
      <c r="R20" s="407"/>
      <c r="S20" s="405"/>
      <c r="T20" s="405"/>
      <c r="U20" s="407"/>
      <c r="V20" s="408"/>
      <c r="W20" s="405"/>
      <c r="X20" s="406"/>
    </row>
    <row r="21" spans="1:26" ht="105.75" customHeight="1">
      <c r="A21" s="414" t="s">
        <v>1120</v>
      </c>
      <c r="B21" s="410" t="s">
        <v>1174</v>
      </c>
      <c r="C21" s="410" t="s">
        <v>1175</v>
      </c>
      <c r="D21" s="403" t="s">
        <v>404</v>
      </c>
      <c r="E21" s="402" t="s">
        <v>404</v>
      </c>
      <c r="F21" s="402" t="s">
        <v>404</v>
      </c>
      <c r="G21" s="410" t="s">
        <v>404</v>
      </c>
      <c r="H21" s="402">
        <v>4</v>
      </c>
      <c r="I21" s="402" t="s">
        <v>404</v>
      </c>
      <c r="J21" s="402" t="s">
        <v>1137</v>
      </c>
      <c r="K21" s="402">
        <v>40</v>
      </c>
      <c r="L21" s="402" t="s">
        <v>1145</v>
      </c>
      <c r="M21" s="403" t="s">
        <v>420</v>
      </c>
      <c r="N21" s="402" t="s">
        <v>1112</v>
      </c>
      <c r="O21" s="411"/>
      <c r="P21" s="405" t="s">
        <v>1176</v>
      </c>
      <c r="Q21" s="405" t="s">
        <v>1177</v>
      </c>
      <c r="R21" s="407"/>
      <c r="S21" s="405"/>
      <c r="T21" s="405"/>
      <c r="U21" s="407"/>
      <c r="V21" s="408"/>
      <c r="W21" s="405"/>
      <c r="X21" s="406"/>
      <c r="Y21" s="379"/>
      <c r="Z21" s="379"/>
    </row>
    <row r="22" spans="1:26" ht="30.6">
      <c r="A22" s="414" t="s">
        <v>1120</v>
      </c>
      <c r="B22" s="410" t="s">
        <v>1178</v>
      </c>
      <c r="C22" s="410" t="s">
        <v>1179</v>
      </c>
      <c r="D22" s="403" t="s">
        <v>404</v>
      </c>
      <c r="E22" s="402" t="s">
        <v>404</v>
      </c>
      <c r="F22" s="402" t="s">
        <v>404</v>
      </c>
      <c r="G22" s="410" t="s">
        <v>404</v>
      </c>
      <c r="H22" s="402">
        <v>4</v>
      </c>
      <c r="I22" s="402">
        <v>4</v>
      </c>
      <c r="J22" s="402" t="s">
        <v>1123</v>
      </c>
      <c r="K22" s="402">
        <v>40</v>
      </c>
      <c r="L22" s="402" t="s">
        <v>1138</v>
      </c>
      <c r="M22" s="403" t="s">
        <v>420</v>
      </c>
      <c r="N22" s="402" t="s">
        <v>1112</v>
      </c>
      <c r="O22" s="401"/>
      <c r="P22" s="405" t="s">
        <v>1180</v>
      </c>
      <c r="Q22" s="405"/>
      <c r="R22" s="407"/>
      <c r="S22" s="405"/>
      <c r="T22" s="405"/>
      <c r="U22" s="407"/>
      <c r="V22" s="408"/>
      <c r="W22" s="405"/>
      <c r="X22" s="406"/>
      <c r="Y22" s="379"/>
      <c r="Z22" s="379"/>
    </row>
    <row r="23" spans="1:26" ht="81.599999999999994">
      <c r="A23" s="409" t="s">
        <v>1120</v>
      </c>
      <c r="B23" s="410" t="s">
        <v>1181</v>
      </c>
      <c r="C23" s="410" t="s">
        <v>1182</v>
      </c>
      <c r="D23" s="403">
        <v>75</v>
      </c>
      <c r="E23" s="402">
        <v>70</v>
      </c>
      <c r="F23" s="402">
        <v>60</v>
      </c>
      <c r="G23" s="410">
        <v>30</v>
      </c>
      <c r="H23" s="402">
        <v>4</v>
      </c>
      <c r="I23" s="402">
        <v>2</v>
      </c>
      <c r="J23" s="402" t="s">
        <v>1137</v>
      </c>
      <c r="K23" s="402">
        <v>40</v>
      </c>
      <c r="L23" s="402" t="s">
        <v>1145</v>
      </c>
      <c r="M23" s="403" t="s">
        <v>419</v>
      </c>
      <c r="N23" s="402" t="s">
        <v>1112</v>
      </c>
      <c r="O23" s="411"/>
      <c r="P23" s="405" t="s">
        <v>1146</v>
      </c>
      <c r="Q23" s="405"/>
      <c r="R23" s="407"/>
      <c r="S23" s="405"/>
      <c r="T23" s="405"/>
      <c r="U23" s="407"/>
      <c r="V23" s="408"/>
      <c r="W23" s="405"/>
      <c r="X23" s="406"/>
      <c r="Y23" s="379"/>
      <c r="Z23" s="379"/>
    </row>
    <row r="24" spans="1:26" ht="40.799999999999997">
      <c r="A24" s="409" t="s">
        <v>1120</v>
      </c>
      <c r="B24" s="410" t="s">
        <v>1183</v>
      </c>
      <c r="C24" s="410" t="s">
        <v>1184</v>
      </c>
      <c r="D24" s="403">
        <v>72</v>
      </c>
      <c r="E24" s="403">
        <v>72</v>
      </c>
      <c r="F24" s="403">
        <v>60</v>
      </c>
      <c r="G24" s="415">
        <v>45</v>
      </c>
      <c r="H24" s="403">
        <v>6</v>
      </c>
      <c r="I24" s="403">
        <v>6</v>
      </c>
      <c r="J24" s="403" t="s">
        <v>1123</v>
      </c>
      <c r="K24" s="403">
        <v>40</v>
      </c>
      <c r="L24" s="403" t="s">
        <v>1124</v>
      </c>
      <c r="M24" s="403" t="s">
        <v>419</v>
      </c>
      <c r="N24" s="403" t="s">
        <v>1112</v>
      </c>
      <c r="O24" s="403"/>
      <c r="P24" s="407" t="s">
        <v>1185</v>
      </c>
      <c r="Q24" s="405" t="s">
        <v>1186</v>
      </c>
      <c r="R24" s="407"/>
      <c r="S24" s="405"/>
      <c r="T24" s="405"/>
      <c r="U24" s="407"/>
      <c r="V24" s="408"/>
      <c r="W24" s="405"/>
      <c r="X24" s="406"/>
      <c r="Y24" s="379"/>
      <c r="Z24" s="379"/>
    </row>
    <row r="25" spans="1:26" ht="40.799999999999997">
      <c r="A25" s="414" t="s">
        <v>1120</v>
      </c>
      <c r="B25" s="410" t="s">
        <v>1187</v>
      </c>
      <c r="C25" s="410" t="s">
        <v>1188</v>
      </c>
      <c r="D25" s="403">
        <v>75</v>
      </c>
      <c r="E25" s="402">
        <v>70</v>
      </c>
      <c r="F25" s="402">
        <v>60</v>
      </c>
      <c r="G25" s="410">
        <v>30</v>
      </c>
      <c r="H25" s="402">
        <v>6</v>
      </c>
      <c r="I25" s="402">
        <v>2</v>
      </c>
      <c r="J25" s="402" t="s">
        <v>1110</v>
      </c>
      <c r="K25" s="402">
        <v>40</v>
      </c>
      <c r="L25" s="402" t="s">
        <v>1124</v>
      </c>
      <c r="M25" s="403" t="s">
        <v>419</v>
      </c>
      <c r="N25" s="402" t="s">
        <v>1149</v>
      </c>
      <c r="O25" s="401"/>
      <c r="P25" s="405" t="s">
        <v>1158</v>
      </c>
      <c r="Q25" s="405"/>
      <c r="R25" s="407"/>
      <c r="S25" s="405"/>
      <c r="T25" s="405"/>
      <c r="U25" s="407"/>
      <c r="V25" s="408"/>
      <c r="W25" s="405"/>
      <c r="X25" s="406"/>
      <c r="Y25" s="379"/>
      <c r="Z25" s="379"/>
    </row>
    <row r="26" spans="1:26" ht="30.6">
      <c r="A26" s="409" t="s">
        <v>1120</v>
      </c>
      <c r="B26" s="410" t="s">
        <v>1189</v>
      </c>
      <c r="C26" s="410" t="s">
        <v>1190</v>
      </c>
      <c r="D26" s="403">
        <v>72</v>
      </c>
      <c r="E26" s="402">
        <v>72</v>
      </c>
      <c r="F26" s="402">
        <v>55</v>
      </c>
      <c r="G26" s="410">
        <v>40</v>
      </c>
      <c r="H26" s="402">
        <v>15</v>
      </c>
      <c r="I26" s="402">
        <v>15</v>
      </c>
      <c r="J26" s="402" t="s">
        <v>1110</v>
      </c>
      <c r="K26" s="402">
        <v>40</v>
      </c>
      <c r="L26" s="402" t="s">
        <v>1124</v>
      </c>
      <c r="M26" s="403" t="s">
        <v>419</v>
      </c>
      <c r="N26" s="402" t="s">
        <v>1112</v>
      </c>
      <c r="O26" s="401"/>
      <c r="P26" s="405" t="s">
        <v>1191</v>
      </c>
      <c r="Q26" s="405"/>
      <c r="R26" s="407"/>
      <c r="S26" s="405"/>
      <c r="T26" s="405"/>
      <c r="U26" s="407"/>
      <c r="V26" s="408"/>
      <c r="W26" s="405"/>
      <c r="X26" s="406"/>
      <c r="Y26" s="379"/>
      <c r="Z26" s="379"/>
    </row>
    <row r="27" spans="1:26" ht="40.799999999999997">
      <c r="A27" s="414" t="s">
        <v>1120</v>
      </c>
      <c r="B27" s="410" t="s">
        <v>1192</v>
      </c>
      <c r="C27" s="410" t="s">
        <v>1193</v>
      </c>
      <c r="D27" s="403">
        <v>72</v>
      </c>
      <c r="E27" s="402">
        <v>72</v>
      </c>
      <c r="F27" s="402">
        <v>55</v>
      </c>
      <c r="G27" s="410">
        <v>40</v>
      </c>
      <c r="H27" s="402">
        <v>15</v>
      </c>
      <c r="I27" s="402">
        <v>15</v>
      </c>
      <c r="J27" s="402" t="s">
        <v>1110</v>
      </c>
      <c r="K27" s="402">
        <v>40</v>
      </c>
      <c r="L27" s="402" t="s">
        <v>1124</v>
      </c>
      <c r="M27" s="403" t="s">
        <v>419</v>
      </c>
      <c r="N27" s="402" t="s">
        <v>1112</v>
      </c>
      <c r="O27" s="401"/>
      <c r="P27" s="405" t="s">
        <v>1191</v>
      </c>
      <c r="Q27" s="405" t="s">
        <v>1194</v>
      </c>
      <c r="R27" s="407"/>
      <c r="S27" s="405"/>
      <c r="T27" s="405"/>
      <c r="U27" s="407"/>
      <c r="V27" s="408"/>
      <c r="W27" s="405"/>
      <c r="X27" s="406"/>
      <c r="Y27" s="379"/>
      <c r="Z27" s="379"/>
    </row>
    <row r="28" spans="1:26" ht="40.799999999999997">
      <c r="A28" s="414" t="s">
        <v>1120</v>
      </c>
      <c r="B28" s="410" t="s">
        <v>1195</v>
      </c>
      <c r="C28" s="410" t="s">
        <v>1196</v>
      </c>
      <c r="D28" s="403">
        <v>75</v>
      </c>
      <c r="E28" s="403">
        <v>70</v>
      </c>
      <c r="F28" s="403">
        <v>60</v>
      </c>
      <c r="G28" s="410">
        <v>30</v>
      </c>
      <c r="H28" s="403">
        <v>6</v>
      </c>
      <c r="I28" s="403">
        <v>2</v>
      </c>
      <c r="J28" s="403" t="s">
        <v>1110</v>
      </c>
      <c r="K28" s="403">
        <v>40</v>
      </c>
      <c r="L28" s="403" t="s">
        <v>1124</v>
      </c>
      <c r="M28" s="403" t="s">
        <v>419</v>
      </c>
      <c r="N28" s="403" t="s">
        <v>1149</v>
      </c>
      <c r="O28" s="403"/>
      <c r="P28" s="407" t="s">
        <v>1158</v>
      </c>
      <c r="Q28" s="405"/>
      <c r="R28" s="407"/>
      <c r="S28" s="405"/>
      <c r="T28" s="405"/>
      <c r="U28" s="407"/>
      <c r="V28" s="408"/>
      <c r="W28" s="405"/>
      <c r="X28" s="406"/>
      <c r="Y28" s="379"/>
      <c r="Z28" s="379"/>
    </row>
    <row r="29" spans="1:26" ht="40.799999999999997">
      <c r="A29" s="409" t="s">
        <v>1120</v>
      </c>
      <c r="B29" s="410" t="s">
        <v>1197</v>
      </c>
      <c r="C29" s="410" t="s">
        <v>1198</v>
      </c>
      <c r="D29" s="403">
        <v>75</v>
      </c>
      <c r="E29" s="402">
        <v>70</v>
      </c>
      <c r="F29" s="402">
        <v>60</v>
      </c>
      <c r="G29" s="410">
        <v>30</v>
      </c>
      <c r="H29" s="402">
        <v>6</v>
      </c>
      <c r="I29" s="402">
        <v>2</v>
      </c>
      <c r="J29" s="402" t="s">
        <v>1110</v>
      </c>
      <c r="K29" s="402">
        <v>40</v>
      </c>
      <c r="L29" s="402" t="s">
        <v>1124</v>
      </c>
      <c r="M29" s="403" t="s">
        <v>419</v>
      </c>
      <c r="N29" s="402" t="s">
        <v>1149</v>
      </c>
      <c r="O29" s="401"/>
      <c r="P29" s="405" t="s">
        <v>1158</v>
      </c>
      <c r="Q29" s="405"/>
      <c r="R29" s="407"/>
      <c r="S29" s="405"/>
      <c r="T29" s="405"/>
      <c r="U29" s="407"/>
      <c r="V29" s="408"/>
      <c r="W29" s="405"/>
      <c r="X29" s="406"/>
      <c r="Y29" s="379"/>
      <c r="Z29" s="379"/>
    </row>
    <row r="30" spans="1:26" ht="91.8">
      <c r="A30" s="400" t="s">
        <v>1120</v>
      </c>
      <c r="B30" s="410" t="s">
        <v>1199</v>
      </c>
      <c r="C30" s="410" t="s">
        <v>1200</v>
      </c>
      <c r="D30" s="403">
        <v>75</v>
      </c>
      <c r="E30" s="402">
        <v>70</v>
      </c>
      <c r="F30" s="402">
        <v>60</v>
      </c>
      <c r="G30" s="410">
        <v>30</v>
      </c>
      <c r="H30" s="402">
        <v>4</v>
      </c>
      <c r="I30" s="402">
        <v>2</v>
      </c>
      <c r="J30" s="402" t="s">
        <v>1137</v>
      </c>
      <c r="K30" s="402">
        <v>35</v>
      </c>
      <c r="L30" s="402" t="s">
        <v>1138</v>
      </c>
      <c r="M30" s="403" t="s">
        <v>419</v>
      </c>
      <c r="N30" s="402" t="s">
        <v>1139</v>
      </c>
      <c r="O30" s="411"/>
      <c r="P30" s="405" t="s">
        <v>1142</v>
      </c>
      <c r="Q30" s="405"/>
      <c r="R30" s="407"/>
      <c r="S30" s="405"/>
      <c r="T30" s="405"/>
      <c r="U30" s="407"/>
      <c r="V30" s="408"/>
      <c r="W30" s="405"/>
      <c r="X30" s="406"/>
      <c r="Y30" s="379"/>
      <c r="Z30" s="379"/>
    </row>
    <row r="31" spans="1:26" ht="30.6">
      <c r="A31" s="400" t="s">
        <v>1120</v>
      </c>
      <c r="B31" s="410" t="s">
        <v>1201</v>
      </c>
      <c r="C31" s="402" t="s">
        <v>1202</v>
      </c>
      <c r="D31" s="403">
        <v>75</v>
      </c>
      <c r="E31" s="402">
        <v>70</v>
      </c>
      <c r="F31" s="402">
        <v>60</v>
      </c>
      <c r="G31" s="410">
        <v>30</v>
      </c>
      <c r="H31" s="402">
        <v>4</v>
      </c>
      <c r="I31" s="402">
        <v>2</v>
      </c>
      <c r="J31" s="402" t="s">
        <v>1137</v>
      </c>
      <c r="K31" s="402">
        <v>40</v>
      </c>
      <c r="L31" s="402" t="s">
        <v>1138</v>
      </c>
      <c r="M31" s="403" t="s">
        <v>419</v>
      </c>
      <c r="N31" s="402" t="s">
        <v>1139</v>
      </c>
      <c r="O31" s="411"/>
      <c r="P31" s="405" t="s">
        <v>1203</v>
      </c>
      <c r="Q31" s="405"/>
      <c r="R31" s="407"/>
      <c r="S31" s="405"/>
      <c r="T31" s="405"/>
      <c r="U31" s="407"/>
      <c r="V31" s="408"/>
      <c r="W31" s="405"/>
      <c r="X31" s="406"/>
      <c r="Y31" s="379"/>
      <c r="Z31" s="379"/>
    </row>
    <row r="32" spans="1:26">
      <c r="A32" s="416" t="s">
        <v>1120</v>
      </c>
      <c r="B32" s="410" t="s">
        <v>1204</v>
      </c>
      <c r="C32" s="402" t="s">
        <v>1205</v>
      </c>
      <c r="D32" s="403">
        <v>75</v>
      </c>
      <c r="E32" s="402">
        <v>70</v>
      </c>
      <c r="F32" s="402">
        <v>60</v>
      </c>
      <c r="G32" s="410">
        <v>30</v>
      </c>
      <c r="H32" s="402">
        <v>4</v>
      </c>
      <c r="I32" s="402">
        <v>2</v>
      </c>
      <c r="J32" s="402" t="s">
        <v>1137</v>
      </c>
      <c r="K32" s="402">
        <v>40</v>
      </c>
      <c r="L32" s="402" t="s">
        <v>1138</v>
      </c>
      <c r="M32" s="403" t="s">
        <v>419</v>
      </c>
      <c r="N32" s="402" t="s">
        <v>1139</v>
      </c>
      <c r="O32" s="411"/>
      <c r="P32" s="405"/>
      <c r="Q32" s="405"/>
      <c r="R32" s="407"/>
      <c r="S32" s="405"/>
      <c r="T32" s="405"/>
      <c r="U32" s="407"/>
      <c r="V32" s="408"/>
      <c r="W32" s="405"/>
      <c r="X32" s="406"/>
      <c r="Y32" s="379"/>
      <c r="Z32" s="379"/>
    </row>
    <row r="33" spans="1:26">
      <c r="A33" s="416" t="s">
        <v>1120</v>
      </c>
      <c r="B33" s="410" t="s">
        <v>1206</v>
      </c>
      <c r="C33" s="402" t="s">
        <v>1207</v>
      </c>
      <c r="D33" s="403">
        <v>75</v>
      </c>
      <c r="E33" s="402">
        <v>70</v>
      </c>
      <c r="F33" s="402">
        <v>60</v>
      </c>
      <c r="G33" s="410">
        <v>30</v>
      </c>
      <c r="H33" s="402">
        <v>4</v>
      </c>
      <c r="I33" s="402">
        <v>2</v>
      </c>
      <c r="J33" s="402" t="s">
        <v>1137</v>
      </c>
      <c r="K33" s="402">
        <v>35</v>
      </c>
      <c r="L33" s="402" t="s">
        <v>1138</v>
      </c>
      <c r="M33" s="403" t="s">
        <v>419</v>
      </c>
      <c r="N33" s="402" t="s">
        <v>1139</v>
      </c>
      <c r="O33" s="411"/>
      <c r="P33" s="405"/>
      <c r="Q33" s="405"/>
      <c r="R33" s="407"/>
      <c r="S33" s="405"/>
      <c r="T33" s="405"/>
      <c r="U33" s="407"/>
      <c r="V33" s="408"/>
      <c r="W33" s="405"/>
      <c r="X33" s="406"/>
      <c r="Y33" s="379"/>
      <c r="Z33" s="379"/>
    </row>
    <row r="34" spans="1:26" ht="20.399999999999999">
      <c r="A34" s="416" t="s">
        <v>1120</v>
      </c>
      <c r="B34" s="410" t="s">
        <v>1208</v>
      </c>
      <c r="C34" s="402" t="s">
        <v>1209</v>
      </c>
      <c r="D34" s="402">
        <v>75</v>
      </c>
      <c r="E34" s="402">
        <v>70</v>
      </c>
      <c r="F34" s="402">
        <v>60</v>
      </c>
      <c r="G34" s="410">
        <v>30</v>
      </c>
      <c r="H34" s="402">
        <v>4</v>
      </c>
      <c r="I34" s="402">
        <v>2</v>
      </c>
      <c r="J34" s="402" t="s">
        <v>1137</v>
      </c>
      <c r="K34" s="402">
        <v>40</v>
      </c>
      <c r="L34" s="402" t="s">
        <v>1138</v>
      </c>
      <c r="M34" s="402" t="s">
        <v>419</v>
      </c>
      <c r="N34" s="402" t="s">
        <v>1139</v>
      </c>
      <c r="O34" s="417"/>
      <c r="P34" s="405"/>
      <c r="Q34" s="405"/>
      <c r="R34" s="407"/>
      <c r="S34" s="405"/>
      <c r="T34" s="405"/>
      <c r="U34" s="407"/>
      <c r="V34" s="408"/>
      <c r="W34" s="405"/>
      <c r="X34" s="406"/>
      <c r="Y34" s="379"/>
      <c r="Z34" s="379"/>
    </row>
    <row r="35" spans="1:26" ht="91.8">
      <c r="A35" s="416" t="s">
        <v>1120</v>
      </c>
      <c r="B35" s="410" t="s">
        <v>1210</v>
      </c>
      <c r="C35" s="402" t="s">
        <v>1211</v>
      </c>
      <c r="D35" s="402">
        <v>75</v>
      </c>
      <c r="E35" s="402">
        <v>70</v>
      </c>
      <c r="F35" s="402">
        <v>60</v>
      </c>
      <c r="G35" s="410">
        <v>30</v>
      </c>
      <c r="H35" s="402">
        <v>4</v>
      </c>
      <c r="I35" s="402">
        <v>2</v>
      </c>
      <c r="J35" s="402" t="s">
        <v>1137</v>
      </c>
      <c r="K35" s="402">
        <v>35</v>
      </c>
      <c r="L35" s="402" t="s">
        <v>1138</v>
      </c>
      <c r="M35" s="402" t="s">
        <v>419</v>
      </c>
      <c r="N35" s="402" t="s">
        <v>1139</v>
      </c>
      <c r="O35" s="417"/>
      <c r="P35" s="405" t="s">
        <v>1142</v>
      </c>
      <c r="Q35" s="405"/>
      <c r="R35" s="405"/>
      <c r="S35" s="405"/>
      <c r="T35" s="405"/>
      <c r="U35" s="407"/>
      <c r="V35" s="408"/>
      <c r="W35" s="405"/>
      <c r="X35" s="406"/>
      <c r="Y35" s="379"/>
      <c r="Z35" s="379"/>
    </row>
    <row r="36" spans="1:26" ht="51">
      <c r="A36" s="416" t="s">
        <v>1120</v>
      </c>
      <c r="B36" s="410" t="s">
        <v>1212</v>
      </c>
      <c r="C36" s="402" t="s">
        <v>1213</v>
      </c>
      <c r="D36" s="402">
        <v>75</v>
      </c>
      <c r="E36" s="402">
        <v>70</v>
      </c>
      <c r="F36" s="402">
        <v>60</v>
      </c>
      <c r="G36" s="410">
        <v>30</v>
      </c>
      <c r="H36" s="402">
        <v>10</v>
      </c>
      <c r="I36" s="402" t="s">
        <v>404</v>
      </c>
      <c r="J36" s="402" t="s">
        <v>1123</v>
      </c>
      <c r="K36" s="402">
        <v>40</v>
      </c>
      <c r="L36" s="402" t="s">
        <v>1124</v>
      </c>
      <c r="M36" s="402" t="s">
        <v>419</v>
      </c>
      <c r="N36" s="402" t="s">
        <v>1112</v>
      </c>
      <c r="O36" s="417"/>
      <c r="P36" s="405" t="s">
        <v>1125</v>
      </c>
      <c r="Q36" s="405"/>
      <c r="R36" s="407"/>
      <c r="S36" s="405"/>
      <c r="T36" s="405"/>
      <c r="U36" s="407"/>
      <c r="V36" s="408"/>
      <c r="W36" s="405"/>
      <c r="X36" s="406"/>
      <c r="Y36" s="379"/>
      <c r="Z36" s="379"/>
    </row>
    <row r="37" spans="1:26" ht="51">
      <c r="A37" s="416" t="s">
        <v>1120</v>
      </c>
      <c r="B37" s="410" t="s">
        <v>1214</v>
      </c>
      <c r="C37" s="402" t="s">
        <v>1215</v>
      </c>
      <c r="D37" s="403">
        <v>75</v>
      </c>
      <c r="E37" s="402">
        <v>70</v>
      </c>
      <c r="F37" s="402">
        <v>60</v>
      </c>
      <c r="G37" s="410">
        <v>30</v>
      </c>
      <c r="H37" s="402">
        <v>10</v>
      </c>
      <c r="I37" s="402" t="s">
        <v>404</v>
      </c>
      <c r="J37" s="402" t="s">
        <v>1123</v>
      </c>
      <c r="K37" s="402">
        <v>40</v>
      </c>
      <c r="L37" s="402" t="s">
        <v>1124</v>
      </c>
      <c r="M37" s="403" t="s">
        <v>419</v>
      </c>
      <c r="N37" s="402" t="s">
        <v>1112</v>
      </c>
      <c r="O37" s="411"/>
      <c r="P37" s="405" t="s">
        <v>1125</v>
      </c>
      <c r="Q37" s="405"/>
      <c r="R37" s="407"/>
      <c r="S37" s="405"/>
      <c r="T37" s="405"/>
      <c r="U37" s="407"/>
      <c r="V37" s="408"/>
      <c r="W37" s="405"/>
      <c r="X37" s="406"/>
      <c r="Y37" s="379"/>
      <c r="Z37" s="379"/>
    </row>
    <row r="38" spans="1:26" ht="71.400000000000006">
      <c r="A38" s="416" t="s">
        <v>1120</v>
      </c>
      <c r="B38" s="410" t="s">
        <v>1216</v>
      </c>
      <c r="C38" s="402" t="s">
        <v>1217</v>
      </c>
      <c r="D38" s="403">
        <v>75</v>
      </c>
      <c r="E38" s="402">
        <v>70</v>
      </c>
      <c r="F38" s="402">
        <v>60</v>
      </c>
      <c r="G38" s="410">
        <v>30</v>
      </c>
      <c r="H38" s="402">
        <v>4</v>
      </c>
      <c r="I38" s="402">
        <v>2</v>
      </c>
      <c r="J38" s="402" t="s">
        <v>1123</v>
      </c>
      <c r="K38" s="402">
        <v>40</v>
      </c>
      <c r="L38" s="402" t="s">
        <v>1124</v>
      </c>
      <c r="M38" s="403" t="s">
        <v>419</v>
      </c>
      <c r="N38" s="402" t="s">
        <v>1112</v>
      </c>
      <c r="O38" s="411"/>
      <c r="P38" s="405" t="s">
        <v>1218</v>
      </c>
      <c r="Q38" s="405"/>
      <c r="R38" s="407"/>
      <c r="S38" s="405"/>
      <c r="T38" s="405"/>
      <c r="U38" s="407"/>
      <c r="V38" s="408"/>
      <c r="W38" s="405"/>
      <c r="X38" s="406"/>
      <c r="Y38" s="379"/>
      <c r="Z38" s="379"/>
    </row>
    <row r="39" spans="1:26">
      <c r="A39" s="416" t="s">
        <v>1120</v>
      </c>
      <c r="B39" s="410" t="s">
        <v>1219</v>
      </c>
      <c r="C39" s="410" t="s">
        <v>1220</v>
      </c>
      <c r="D39" s="403">
        <v>75</v>
      </c>
      <c r="E39" s="402">
        <v>70</v>
      </c>
      <c r="F39" s="402">
        <v>60</v>
      </c>
      <c r="G39" s="410">
        <v>30</v>
      </c>
      <c r="H39" s="402">
        <v>6</v>
      </c>
      <c r="I39" s="402">
        <v>2</v>
      </c>
      <c r="J39" s="402" t="s">
        <v>1137</v>
      </c>
      <c r="K39" s="402">
        <v>40</v>
      </c>
      <c r="L39" s="418" t="s">
        <v>1221</v>
      </c>
      <c r="M39" s="403" t="s">
        <v>419</v>
      </c>
      <c r="N39" s="402" t="s">
        <v>1139</v>
      </c>
      <c r="O39" s="411"/>
      <c r="P39" s="405"/>
      <c r="Q39" s="405"/>
      <c r="R39" s="407"/>
      <c r="S39" s="405"/>
      <c r="T39" s="405"/>
      <c r="U39" s="407"/>
      <c r="V39" s="408"/>
      <c r="W39" s="405"/>
      <c r="X39" s="406"/>
      <c r="Y39" s="379"/>
      <c r="Z39" s="379"/>
    </row>
    <row r="40" spans="1:26" ht="91.8">
      <c r="A40" s="416" t="s">
        <v>1120</v>
      </c>
      <c r="B40" s="410" t="s">
        <v>1222</v>
      </c>
      <c r="C40" s="402" t="s">
        <v>1223</v>
      </c>
      <c r="D40" s="403">
        <v>75</v>
      </c>
      <c r="E40" s="402">
        <v>70</v>
      </c>
      <c r="F40" s="402">
        <v>60</v>
      </c>
      <c r="G40" s="410">
        <v>30</v>
      </c>
      <c r="H40" s="402">
        <v>4</v>
      </c>
      <c r="I40" s="402">
        <v>2</v>
      </c>
      <c r="J40" s="402" t="s">
        <v>1137</v>
      </c>
      <c r="K40" s="402">
        <v>35</v>
      </c>
      <c r="L40" s="402" t="s">
        <v>1138</v>
      </c>
      <c r="M40" s="403" t="s">
        <v>419</v>
      </c>
      <c r="N40" s="402" t="s">
        <v>1139</v>
      </c>
      <c r="O40" s="411"/>
      <c r="P40" s="405" t="s">
        <v>1142</v>
      </c>
      <c r="Q40" s="405"/>
      <c r="R40" s="407"/>
      <c r="S40" s="405"/>
      <c r="T40" s="405"/>
      <c r="U40" s="407"/>
      <c r="V40" s="408"/>
      <c r="W40" s="405"/>
      <c r="X40" s="406"/>
      <c r="Y40" s="379"/>
      <c r="Z40" s="379"/>
    </row>
    <row r="41" spans="1:26" ht="193.8">
      <c r="A41" s="400" t="s">
        <v>1224</v>
      </c>
      <c r="B41" s="401" t="s">
        <v>1225</v>
      </c>
      <c r="C41" s="402" t="s">
        <v>1226</v>
      </c>
      <c r="D41" s="403">
        <v>75</v>
      </c>
      <c r="E41" s="402">
        <v>70</v>
      </c>
      <c r="F41" s="402">
        <v>60</v>
      </c>
      <c r="G41" s="402">
        <v>30</v>
      </c>
      <c r="H41" s="402">
        <v>8</v>
      </c>
      <c r="I41" s="402">
        <v>2</v>
      </c>
      <c r="J41" s="402" t="s">
        <v>1137</v>
      </c>
      <c r="K41" s="402">
        <v>35</v>
      </c>
      <c r="L41" s="402" t="s">
        <v>1227</v>
      </c>
      <c r="M41" s="403" t="s">
        <v>419</v>
      </c>
      <c r="N41" s="402" t="s">
        <v>1139</v>
      </c>
      <c r="O41" s="401"/>
      <c r="P41" s="405" t="s">
        <v>1228</v>
      </c>
      <c r="Q41" s="405" t="s">
        <v>1229</v>
      </c>
      <c r="R41" s="407"/>
      <c r="S41" s="405"/>
      <c r="T41" s="405"/>
      <c r="U41" s="407"/>
      <c r="V41" s="408"/>
      <c r="W41" s="405"/>
      <c r="X41" s="406"/>
      <c r="Y41" s="379"/>
      <c r="Z41" s="379"/>
    </row>
    <row r="42" spans="1:26" ht="193.8">
      <c r="A42" s="400" t="s">
        <v>1224</v>
      </c>
      <c r="B42" s="401" t="s">
        <v>1230</v>
      </c>
      <c r="C42" s="402" t="s">
        <v>1231</v>
      </c>
      <c r="D42" s="403">
        <v>75</v>
      </c>
      <c r="E42" s="402">
        <v>70</v>
      </c>
      <c r="F42" s="402">
        <v>60</v>
      </c>
      <c r="G42" s="402">
        <v>30</v>
      </c>
      <c r="H42" s="402">
        <v>8</v>
      </c>
      <c r="I42" s="402">
        <v>2</v>
      </c>
      <c r="J42" s="402" t="s">
        <v>1137</v>
      </c>
      <c r="K42" s="402">
        <v>35</v>
      </c>
      <c r="L42" s="402" t="s">
        <v>1227</v>
      </c>
      <c r="M42" s="403" t="s">
        <v>419</v>
      </c>
      <c r="N42" s="402" t="s">
        <v>1139</v>
      </c>
      <c r="O42" s="401"/>
      <c r="P42" s="405" t="s">
        <v>1228</v>
      </c>
      <c r="Q42" s="405" t="s">
        <v>1229</v>
      </c>
      <c r="R42" s="407"/>
      <c r="S42" s="405"/>
      <c r="T42" s="405"/>
      <c r="U42" s="407"/>
      <c r="V42" s="408"/>
      <c r="W42" s="405"/>
      <c r="X42" s="406"/>
      <c r="Y42" s="379"/>
      <c r="Z42" s="379"/>
    </row>
    <row r="43" spans="1:26" ht="79.5" customHeight="1">
      <c r="A43" s="400" t="s">
        <v>1224</v>
      </c>
      <c r="B43" s="401" t="s">
        <v>1232</v>
      </c>
      <c r="C43" s="402" t="s">
        <v>1233</v>
      </c>
      <c r="D43" s="403">
        <v>75</v>
      </c>
      <c r="E43" s="402">
        <v>70</v>
      </c>
      <c r="F43" s="402">
        <v>60</v>
      </c>
      <c r="G43" s="402">
        <v>30</v>
      </c>
      <c r="H43" s="402">
        <v>8</v>
      </c>
      <c r="I43" s="402">
        <v>2</v>
      </c>
      <c r="J43" s="402" t="s">
        <v>1137</v>
      </c>
      <c r="K43" s="402">
        <v>35</v>
      </c>
      <c r="L43" s="402" t="s">
        <v>1227</v>
      </c>
      <c r="M43" s="403" t="s">
        <v>419</v>
      </c>
      <c r="N43" s="402" t="s">
        <v>1139</v>
      </c>
      <c r="O43" s="401"/>
      <c r="P43" s="405" t="s">
        <v>1228</v>
      </c>
      <c r="Q43" s="405" t="s">
        <v>1229</v>
      </c>
      <c r="R43" s="407"/>
      <c r="S43" s="405"/>
      <c r="T43" s="405"/>
      <c r="U43" s="407"/>
      <c r="V43" s="408"/>
      <c r="W43" s="405"/>
      <c r="X43" s="406"/>
      <c r="Y43" s="379"/>
      <c r="Z43" s="379"/>
    </row>
    <row r="44" spans="1:26" ht="193.8">
      <c r="A44" s="400" t="s">
        <v>1224</v>
      </c>
      <c r="B44" s="401" t="s">
        <v>1234</v>
      </c>
      <c r="C44" s="402" t="s">
        <v>1235</v>
      </c>
      <c r="D44" s="403">
        <v>75</v>
      </c>
      <c r="E44" s="402">
        <v>70</v>
      </c>
      <c r="F44" s="402">
        <v>60</v>
      </c>
      <c r="G44" s="402">
        <v>30</v>
      </c>
      <c r="H44" s="402">
        <v>8</v>
      </c>
      <c r="I44" s="402">
        <v>2</v>
      </c>
      <c r="J44" s="402" t="s">
        <v>1137</v>
      </c>
      <c r="K44" s="402">
        <v>35</v>
      </c>
      <c r="L44" s="402" t="s">
        <v>1227</v>
      </c>
      <c r="M44" s="403" t="s">
        <v>419</v>
      </c>
      <c r="N44" s="402" t="s">
        <v>1139</v>
      </c>
      <c r="O44" s="401"/>
      <c r="P44" s="405" t="s">
        <v>1228</v>
      </c>
      <c r="Q44" s="405" t="s">
        <v>1229</v>
      </c>
      <c r="R44" s="407"/>
      <c r="S44" s="405"/>
      <c r="T44" s="405"/>
      <c r="U44" s="407"/>
      <c r="V44" s="408"/>
      <c r="W44" s="405"/>
      <c r="X44" s="406"/>
      <c r="Y44" s="379"/>
      <c r="Z44" s="379"/>
    </row>
    <row r="45" spans="1:26" ht="193.8">
      <c r="A45" s="400" t="s">
        <v>1224</v>
      </c>
      <c r="B45" s="401" t="s">
        <v>1236</v>
      </c>
      <c r="C45" s="402" t="s">
        <v>1237</v>
      </c>
      <c r="D45" s="403">
        <v>75</v>
      </c>
      <c r="E45" s="402">
        <v>70</v>
      </c>
      <c r="F45" s="402">
        <v>60</v>
      </c>
      <c r="G45" s="402">
        <v>30</v>
      </c>
      <c r="H45" s="402">
        <v>8</v>
      </c>
      <c r="I45" s="402">
        <v>2</v>
      </c>
      <c r="J45" s="402" t="s">
        <v>1137</v>
      </c>
      <c r="K45" s="402">
        <v>35</v>
      </c>
      <c r="L45" s="402" t="s">
        <v>1227</v>
      </c>
      <c r="M45" s="403" t="s">
        <v>419</v>
      </c>
      <c r="N45" s="402" t="s">
        <v>1139</v>
      </c>
      <c r="O45" s="401"/>
      <c r="P45" s="405" t="s">
        <v>1228</v>
      </c>
      <c r="Q45" s="405" t="s">
        <v>1229</v>
      </c>
      <c r="R45" s="407"/>
      <c r="S45" s="405"/>
      <c r="T45" s="405"/>
      <c r="U45" s="407"/>
      <c r="V45" s="408"/>
      <c r="W45" s="405"/>
      <c r="X45" s="406"/>
      <c r="Y45" s="379"/>
      <c r="Z45" s="379"/>
    </row>
    <row r="46" spans="1:26" ht="193.8">
      <c r="A46" s="400" t="s">
        <v>1224</v>
      </c>
      <c r="B46" s="401" t="s">
        <v>1238</v>
      </c>
      <c r="C46" s="402" t="s">
        <v>1239</v>
      </c>
      <c r="D46" s="403">
        <v>75</v>
      </c>
      <c r="E46" s="402">
        <v>70</v>
      </c>
      <c r="F46" s="402">
        <v>60</v>
      </c>
      <c r="G46" s="402">
        <v>30</v>
      </c>
      <c r="H46" s="402">
        <v>8</v>
      </c>
      <c r="I46" s="402">
        <v>2</v>
      </c>
      <c r="J46" s="402" t="s">
        <v>1137</v>
      </c>
      <c r="K46" s="402">
        <v>35</v>
      </c>
      <c r="L46" s="402" t="s">
        <v>1227</v>
      </c>
      <c r="M46" s="403" t="s">
        <v>419</v>
      </c>
      <c r="N46" s="402" t="s">
        <v>1139</v>
      </c>
      <c r="O46" s="401"/>
      <c r="P46" s="405" t="s">
        <v>1228</v>
      </c>
      <c r="Q46" s="405" t="s">
        <v>1229</v>
      </c>
      <c r="R46" s="407"/>
      <c r="S46" s="405"/>
      <c r="T46" s="405"/>
      <c r="U46" s="407"/>
      <c r="V46" s="408"/>
      <c r="W46" s="405"/>
      <c r="X46" s="406"/>
      <c r="Y46" s="379"/>
      <c r="Z46" s="379"/>
    </row>
    <row r="47" spans="1:26" ht="193.8">
      <c r="A47" s="400" t="s">
        <v>1224</v>
      </c>
      <c r="B47" s="401" t="s">
        <v>1230</v>
      </c>
      <c r="C47" s="402" t="s">
        <v>1240</v>
      </c>
      <c r="D47" s="419">
        <v>75</v>
      </c>
      <c r="E47" s="420">
        <v>70</v>
      </c>
      <c r="F47" s="420">
        <v>60</v>
      </c>
      <c r="G47" s="402">
        <v>30</v>
      </c>
      <c r="H47" s="420">
        <v>8</v>
      </c>
      <c r="I47" s="420">
        <v>2</v>
      </c>
      <c r="J47" s="420" t="s">
        <v>1137</v>
      </c>
      <c r="K47" s="420">
        <v>35</v>
      </c>
      <c r="L47" s="402" t="s">
        <v>1227</v>
      </c>
      <c r="M47" s="419" t="s">
        <v>419</v>
      </c>
      <c r="N47" s="420" t="s">
        <v>1139</v>
      </c>
      <c r="O47" s="401"/>
      <c r="P47" s="405" t="s">
        <v>1228</v>
      </c>
      <c r="Q47" s="405" t="s">
        <v>1229</v>
      </c>
      <c r="R47" s="407"/>
      <c r="S47" s="405"/>
      <c r="T47" s="405"/>
      <c r="U47" s="407"/>
      <c r="V47" s="408"/>
      <c r="W47" s="405"/>
      <c r="X47" s="406"/>
      <c r="Y47" s="379"/>
      <c r="Z47" s="379"/>
    </row>
    <row r="48" spans="1:26" ht="193.8">
      <c r="A48" s="400" t="s">
        <v>1224</v>
      </c>
      <c r="B48" s="401" t="s">
        <v>1241</v>
      </c>
      <c r="C48" s="402" t="s">
        <v>1242</v>
      </c>
      <c r="D48" s="403">
        <v>75</v>
      </c>
      <c r="E48" s="402">
        <v>70</v>
      </c>
      <c r="F48" s="402">
        <v>60</v>
      </c>
      <c r="G48" s="402">
        <v>30</v>
      </c>
      <c r="H48" s="402">
        <v>6</v>
      </c>
      <c r="I48" s="402">
        <v>2</v>
      </c>
      <c r="J48" s="402" t="s">
        <v>1137</v>
      </c>
      <c r="K48" s="402">
        <v>35</v>
      </c>
      <c r="L48" s="402" t="s">
        <v>1227</v>
      </c>
      <c r="M48" s="403" t="s">
        <v>419</v>
      </c>
      <c r="N48" s="402" t="s">
        <v>1139</v>
      </c>
      <c r="O48" s="421"/>
      <c r="P48" s="405" t="s">
        <v>1228</v>
      </c>
      <c r="Q48" s="405" t="s">
        <v>1229</v>
      </c>
      <c r="R48" s="407"/>
      <c r="S48" s="405"/>
      <c r="T48" s="405"/>
      <c r="U48" s="407"/>
      <c r="V48" s="408"/>
      <c r="W48" s="405"/>
      <c r="X48" s="406"/>
      <c r="Y48" s="379"/>
      <c r="Z48" s="379"/>
    </row>
    <row r="49" spans="1:26" ht="193.8">
      <c r="A49" s="400" t="s">
        <v>1224</v>
      </c>
      <c r="B49" s="401" t="s">
        <v>1243</v>
      </c>
      <c r="C49" s="402" t="s">
        <v>1244</v>
      </c>
      <c r="D49" s="403">
        <v>75</v>
      </c>
      <c r="E49" s="402">
        <v>70</v>
      </c>
      <c r="F49" s="402">
        <v>60</v>
      </c>
      <c r="G49" s="402">
        <v>30</v>
      </c>
      <c r="H49" s="402">
        <v>6</v>
      </c>
      <c r="I49" s="402">
        <v>2</v>
      </c>
      <c r="J49" s="402" t="s">
        <v>1137</v>
      </c>
      <c r="K49" s="402">
        <v>35</v>
      </c>
      <c r="L49" s="402" t="s">
        <v>1227</v>
      </c>
      <c r="M49" s="403" t="s">
        <v>419</v>
      </c>
      <c r="N49" s="402" t="s">
        <v>1139</v>
      </c>
      <c r="O49" s="421"/>
      <c r="P49" s="405" t="s">
        <v>1228</v>
      </c>
      <c r="Q49" s="405" t="s">
        <v>1229</v>
      </c>
      <c r="R49" s="407"/>
      <c r="S49" s="405"/>
      <c r="T49" s="405"/>
      <c r="U49" s="407"/>
      <c r="V49" s="408"/>
      <c r="W49" s="405"/>
      <c r="X49" s="406"/>
      <c r="Y49" s="379"/>
      <c r="Z49" s="379"/>
    </row>
    <row r="50" spans="1:26" ht="193.8">
      <c r="A50" s="400" t="s">
        <v>1224</v>
      </c>
      <c r="B50" s="401" t="s">
        <v>1245</v>
      </c>
      <c r="C50" s="402" t="s">
        <v>1246</v>
      </c>
      <c r="D50" s="403">
        <v>75</v>
      </c>
      <c r="E50" s="402">
        <v>70</v>
      </c>
      <c r="F50" s="402">
        <v>60</v>
      </c>
      <c r="G50" s="402">
        <v>30</v>
      </c>
      <c r="H50" s="402">
        <v>6</v>
      </c>
      <c r="I50" s="402">
        <v>2</v>
      </c>
      <c r="J50" s="402" t="s">
        <v>1137</v>
      </c>
      <c r="K50" s="402">
        <v>35</v>
      </c>
      <c r="L50" s="402" t="s">
        <v>1227</v>
      </c>
      <c r="M50" s="403" t="s">
        <v>419</v>
      </c>
      <c r="N50" s="402" t="s">
        <v>1139</v>
      </c>
      <c r="O50" s="421"/>
      <c r="P50" s="405" t="s">
        <v>1228</v>
      </c>
      <c r="Q50" s="405" t="s">
        <v>1229</v>
      </c>
      <c r="R50" s="407"/>
      <c r="S50" s="405"/>
      <c r="T50" s="405"/>
      <c r="U50" s="407"/>
      <c r="V50" s="408"/>
      <c r="W50" s="405"/>
      <c r="X50" s="406"/>
      <c r="Y50" s="379"/>
      <c r="Z50" s="379"/>
    </row>
    <row r="51" spans="1:26" ht="193.8">
      <c r="A51" s="400" t="s">
        <v>1224</v>
      </c>
      <c r="B51" s="401" t="s">
        <v>1247</v>
      </c>
      <c r="C51" s="402" t="s">
        <v>1248</v>
      </c>
      <c r="D51" s="419">
        <v>75</v>
      </c>
      <c r="E51" s="420">
        <v>70</v>
      </c>
      <c r="F51" s="420">
        <v>60</v>
      </c>
      <c r="G51" s="402">
        <v>30</v>
      </c>
      <c r="H51" s="420">
        <v>6</v>
      </c>
      <c r="I51" s="420">
        <v>2</v>
      </c>
      <c r="J51" s="420" t="s">
        <v>1137</v>
      </c>
      <c r="K51" s="420">
        <v>35</v>
      </c>
      <c r="L51" s="402" t="s">
        <v>1227</v>
      </c>
      <c r="M51" s="419" t="s">
        <v>419</v>
      </c>
      <c r="N51" s="420" t="s">
        <v>1139</v>
      </c>
      <c r="O51" s="421"/>
      <c r="P51" s="405" t="s">
        <v>1228</v>
      </c>
      <c r="Q51" s="405" t="s">
        <v>1229</v>
      </c>
      <c r="R51" s="407"/>
      <c r="S51" s="405"/>
      <c r="T51" s="405"/>
      <c r="U51" s="407"/>
      <c r="V51" s="408"/>
      <c r="W51" s="405"/>
      <c r="X51" s="406"/>
      <c r="Y51" s="379"/>
      <c r="Z51" s="379"/>
    </row>
    <row r="52" spans="1:26" ht="193.8">
      <c r="A52" s="400" t="s">
        <v>1224</v>
      </c>
      <c r="B52" s="401" t="s">
        <v>1247</v>
      </c>
      <c r="C52" s="402" t="s">
        <v>1249</v>
      </c>
      <c r="D52" s="403">
        <v>75</v>
      </c>
      <c r="E52" s="402">
        <v>70</v>
      </c>
      <c r="F52" s="402">
        <v>60</v>
      </c>
      <c r="G52" s="402">
        <v>30</v>
      </c>
      <c r="H52" s="402">
        <v>6</v>
      </c>
      <c r="I52" s="402">
        <v>2</v>
      </c>
      <c r="J52" s="402" t="s">
        <v>1137</v>
      </c>
      <c r="K52" s="402">
        <v>35</v>
      </c>
      <c r="L52" s="402" t="s">
        <v>1227</v>
      </c>
      <c r="M52" s="403" t="s">
        <v>419</v>
      </c>
      <c r="N52" s="402" t="s">
        <v>1139</v>
      </c>
      <c r="O52" s="421"/>
      <c r="P52" s="405" t="s">
        <v>1228</v>
      </c>
      <c r="Q52" s="405" t="s">
        <v>1229</v>
      </c>
      <c r="R52" s="407"/>
      <c r="S52" s="405"/>
      <c r="T52" s="405"/>
      <c r="U52" s="407"/>
      <c r="V52" s="408"/>
      <c r="W52" s="405"/>
      <c r="X52" s="406"/>
      <c r="Y52" s="379"/>
      <c r="Z52" s="379"/>
    </row>
    <row r="53" spans="1:26" ht="51">
      <c r="A53" s="422" t="s">
        <v>1250</v>
      </c>
      <c r="B53" s="410" t="s">
        <v>1128</v>
      </c>
      <c r="C53" s="402" t="s">
        <v>1251</v>
      </c>
      <c r="D53" s="403">
        <v>75</v>
      </c>
      <c r="E53" s="402">
        <v>70</v>
      </c>
      <c r="F53" s="402">
        <v>60</v>
      </c>
      <c r="G53" s="410">
        <v>30</v>
      </c>
      <c r="H53" s="402">
        <v>10</v>
      </c>
      <c r="I53" s="402" t="s">
        <v>404</v>
      </c>
      <c r="J53" s="402" t="s">
        <v>1123</v>
      </c>
      <c r="K53" s="402">
        <v>40</v>
      </c>
      <c r="L53" s="402" t="s">
        <v>1124</v>
      </c>
      <c r="M53" s="403" t="s">
        <v>419</v>
      </c>
      <c r="N53" s="402" t="s">
        <v>1112</v>
      </c>
      <c r="O53" s="411"/>
      <c r="P53" s="405" t="s">
        <v>1125</v>
      </c>
      <c r="Q53" s="405"/>
      <c r="R53" s="407"/>
      <c r="S53" s="405"/>
      <c r="T53" s="405"/>
      <c r="U53" s="407"/>
      <c r="V53" s="408"/>
      <c r="W53" s="405"/>
      <c r="X53" s="406"/>
      <c r="Y53" s="379"/>
      <c r="Z53" s="379"/>
    </row>
    <row r="54" spans="1:26" ht="51">
      <c r="A54" s="422" t="s">
        <v>1250</v>
      </c>
      <c r="B54" s="410" t="s">
        <v>1130</v>
      </c>
      <c r="C54" s="402" t="s">
        <v>1252</v>
      </c>
      <c r="D54" s="403">
        <v>75</v>
      </c>
      <c r="E54" s="402">
        <v>70</v>
      </c>
      <c r="F54" s="402">
        <v>60</v>
      </c>
      <c r="G54" s="410">
        <v>30</v>
      </c>
      <c r="H54" s="402">
        <v>10</v>
      </c>
      <c r="I54" s="402" t="s">
        <v>404</v>
      </c>
      <c r="J54" s="402" t="s">
        <v>1123</v>
      </c>
      <c r="K54" s="402">
        <v>40</v>
      </c>
      <c r="L54" s="402" t="s">
        <v>1124</v>
      </c>
      <c r="M54" s="403" t="s">
        <v>419</v>
      </c>
      <c r="N54" s="402" t="s">
        <v>1112</v>
      </c>
      <c r="O54" s="411"/>
      <c r="P54" s="405" t="s">
        <v>1125</v>
      </c>
      <c r="Q54" s="405"/>
      <c r="R54" s="407"/>
      <c r="S54" s="405"/>
      <c r="T54" s="405"/>
      <c r="U54" s="407"/>
      <c r="V54" s="408"/>
      <c r="W54" s="405"/>
      <c r="X54" s="406"/>
      <c r="Y54" s="379"/>
      <c r="Z54" s="379"/>
    </row>
    <row r="55" spans="1:26" ht="20.399999999999999">
      <c r="A55" s="409" t="s">
        <v>1250</v>
      </c>
      <c r="B55" s="410" t="s">
        <v>1132</v>
      </c>
      <c r="C55" s="410" t="s">
        <v>1253</v>
      </c>
      <c r="D55" s="403" t="s">
        <v>404</v>
      </c>
      <c r="E55" s="402" t="s">
        <v>404</v>
      </c>
      <c r="F55" s="402" t="s">
        <v>404</v>
      </c>
      <c r="G55" s="410" t="s">
        <v>404</v>
      </c>
      <c r="H55" s="402">
        <v>10</v>
      </c>
      <c r="I55" s="402" t="s">
        <v>404</v>
      </c>
      <c r="J55" s="402" t="s">
        <v>1123</v>
      </c>
      <c r="K55" s="402">
        <v>40</v>
      </c>
      <c r="L55" s="402" t="s">
        <v>1134</v>
      </c>
      <c r="M55" s="403" t="s">
        <v>420</v>
      </c>
      <c r="N55" s="402" t="s">
        <v>1112</v>
      </c>
      <c r="O55" s="411"/>
      <c r="P55" s="405"/>
      <c r="Q55" s="405"/>
      <c r="R55" s="407"/>
      <c r="S55" s="405"/>
      <c r="T55" s="405"/>
      <c r="U55" s="407"/>
      <c r="V55" s="408"/>
      <c r="W55" s="405"/>
      <c r="X55" s="406"/>
      <c r="Y55" s="379"/>
      <c r="Z55" s="379"/>
    </row>
    <row r="56" spans="1:26">
      <c r="A56" s="409" t="s">
        <v>1250</v>
      </c>
      <c r="B56" s="410" t="s">
        <v>1135</v>
      </c>
      <c r="C56" s="402" t="s">
        <v>1254</v>
      </c>
      <c r="D56" s="403">
        <v>75</v>
      </c>
      <c r="E56" s="402">
        <v>70</v>
      </c>
      <c r="F56" s="402">
        <v>60</v>
      </c>
      <c r="G56" s="410">
        <v>30</v>
      </c>
      <c r="H56" s="402">
        <v>4</v>
      </c>
      <c r="I56" s="402">
        <v>2</v>
      </c>
      <c r="J56" s="402" t="s">
        <v>1137</v>
      </c>
      <c r="K56" s="402">
        <v>40</v>
      </c>
      <c r="L56" s="402" t="s">
        <v>1138</v>
      </c>
      <c r="M56" s="403" t="s">
        <v>419</v>
      </c>
      <c r="N56" s="402" t="s">
        <v>1139</v>
      </c>
      <c r="O56" s="411"/>
      <c r="P56" s="405"/>
      <c r="Q56" s="405"/>
      <c r="R56" s="407"/>
      <c r="S56" s="405"/>
      <c r="T56" s="405"/>
      <c r="U56" s="407"/>
      <c r="V56" s="408"/>
      <c r="W56" s="405"/>
      <c r="X56" s="406"/>
      <c r="Y56" s="379"/>
      <c r="Z56" s="379"/>
    </row>
    <row r="57" spans="1:26" ht="20.399999999999999">
      <c r="A57" s="422" t="s">
        <v>1250</v>
      </c>
      <c r="B57" s="410" t="s">
        <v>1140</v>
      </c>
      <c r="C57" s="410" t="s">
        <v>1255</v>
      </c>
      <c r="D57" s="402" t="s">
        <v>404</v>
      </c>
      <c r="E57" s="402" t="s">
        <v>404</v>
      </c>
      <c r="F57" s="402" t="s">
        <v>404</v>
      </c>
      <c r="G57" s="410" t="s">
        <v>404</v>
      </c>
      <c r="H57" s="402" t="s">
        <v>404</v>
      </c>
      <c r="I57" s="402" t="s">
        <v>404</v>
      </c>
      <c r="J57" s="402" t="s">
        <v>404</v>
      </c>
      <c r="K57" s="402" t="s">
        <v>404</v>
      </c>
      <c r="L57" s="402" t="s">
        <v>404</v>
      </c>
      <c r="M57" s="402" t="s">
        <v>404</v>
      </c>
      <c r="N57" s="402" t="s">
        <v>404</v>
      </c>
      <c r="O57" s="402"/>
      <c r="P57" s="405" t="s">
        <v>1256</v>
      </c>
      <c r="Q57" s="405"/>
      <c r="R57" s="407"/>
      <c r="S57" s="405"/>
      <c r="T57" s="405"/>
      <c r="U57" s="407"/>
      <c r="V57" s="408"/>
      <c r="W57" s="405"/>
      <c r="X57" s="406"/>
      <c r="Y57" s="379"/>
      <c r="Z57" s="379"/>
    </row>
    <row r="58" spans="1:26" ht="61.2">
      <c r="A58" s="409" t="s">
        <v>1250</v>
      </c>
      <c r="B58" s="410" t="s">
        <v>1171</v>
      </c>
      <c r="C58" s="410" t="s">
        <v>1257</v>
      </c>
      <c r="D58" s="403">
        <v>75</v>
      </c>
      <c r="E58" s="402">
        <v>70</v>
      </c>
      <c r="F58" s="402">
        <v>60</v>
      </c>
      <c r="G58" s="410">
        <v>30</v>
      </c>
      <c r="H58" s="402">
        <v>4</v>
      </c>
      <c r="I58" s="402">
        <v>2</v>
      </c>
      <c r="J58" s="402" t="s">
        <v>1137</v>
      </c>
      <c r="K58" s="402">
        <v>40</v>
      </c>
      <c r="L58" s="402" t="s">
        <v>1138</v>
      </c>
      <c r="M58" s="403" t="s">
        <v>419</v>
      </c>
      <c r="N58" s="402" t="s">
        <v>1139</v>
      </c>
      <c r="O58" s="401"/>
      <c r="P58" s="405" t="s">
        <v>1173</v>
      </c>
      <c r="Q58" s="405"/>
      <c r="R58" s="407"/>
      <c r="S58" s="405"/>
      <c r="T58" s="405"/>
      <c r="U58" s="407"/>
      <c r="V58" s="408"/>
      <c r="W58" s="405"/>
      <c r="X58" s="406"/>
      <c r="Y58" s="379"/>
      <c r="Z58" s="379"/>
    </row>
    <row r="59" spans="1:26">
      <c r="A59" s="422" t="s">
        <v>1250</v>
      </c>
      <c r="B59" s="410" t="s">
        <v>1258</v>
      </c>
      <c r="C59" s="402" t="s">
        <v>1259</v>
      </c>
      <c r="D59" s="403">
        <v>75</v>
      </c>
      <c r="E59" s="402">
        <v>70</v>
      </c>
      <c r="F59" s="402">
        <v>60</v>
      </c>
      <c r="G59" s="410">
        <v>30</v>
      </c>
      <c r="H59" s="402">
        <v>4</v>
      </c>
      <c r="I59" s="402">
        <v>2</v>
      </c>
      <c r="J59" s="402" t="s">
        <v>1137</v>
      </c>
      <c r="K59" s="402">
        <v>40</v>
      </c>
      <c r="L59" s="402" t="s">
        <v>1138</v>
      </c>
      <c r="M59" s="403" t="s">
        <v>419</v>
      </c>
      <c r="N59" s="402" t="s">
        <v>1139</v>
      </c>
      <c r="O59" s="411"/>
      <c r="P59" s="405"/>
      <c r="Q59" s="405"/>
      <c r="R59" s="407"/>
      <c r="S59" s="405"/>
      <c r="T59" s="405"/>
      <c r="U59" s="407"/>
      <c r="V59" s="408"/>
      <c r="W59" s="405"/>
      <c r="X59" s="406"/>
      <c r="Y59" s="379"/>
      <c r="Z59" s="379"/>
    </row>
    <row r="60" spans="1:26" ht="51">
      <c r="A60" s="422" t="s">
        <v>1250</v>
      </c>
      <c r="B60" s="410" t="s">
        <v>1260</v>
      </c>
      <c r="C60" s="402" t="s">
        <v>1261</v>
      </c>
      <c r="D60" s="402">
        <v>75</v>
      </c>
      <c r="E60" s="402">
        <v>70</v>
      </c>
      <c r="F60" s="402">
        <v>60</v>
      </c>
      <c r="G60" s="410">
        <v>30</v>
      </c>
      <c r="H60" s="402">
        <v>6</v>
      </c>
      <c r="I60" s="402">
        <v>2</v>
      </c>
      <c r="J60" s="402" t="s">
        <v>1137</v>
      </c>
      <c r="K60" s="402">
        <v>35</v>
      </c>
      <c r="L60" s="418" t="s">
        <v>1138</v>
      </c>
      <c r="M60" s="402" t="s">
        <v>1096</v>
      </c>
      <c r="N60" s="402" t="s">
        <v>1139</v>
      </c>
      <c r="O60" s="402"/>
      <c r="P60" s="405" t="s">
        <v>1262</v>
      </c>
      <c r="Q60" s="405"/>
      <c r="R60" s="407"/>
      <c r="S60" s="405"/>
      <c r="T60" s="405"/>
      <c r="U60" s="407"/>
      <c r="V60" s="408"/>
      <c r="W60" s="405"/>
      <c r="X60" s="406"/>
      <c r="Y60" s="379"/>
      <c r="Z60" s="379"/>
    </row>
    <row r="61" spans="1:26">
      <c r="A61" s="422" t="s">
        <v>1250</v>
      </c>
      <c r="B61" s="410" t="s">
        <v>1263</v>
      </c>
      <c r="C61" s="402" t="s">
        <v>1264</v>
      </c>
      <c r="D61" s="402">
        <v>75</v>
      </c>
      <c r="E61" s="402">
        <v>70</v>
      </c>
      <c r="F61" s="402">
        <v>60</v>
      </c>
      <c r="G61" s="410">
        <v>30</v>
      </c>
      <c r="H61" s="402">
        <v>4</v>
      </c>
      <c r="I61" s="402">
        <v>2</v>
      </c>
      <c r="J61" s="402" t="s">
        <v>1137</v>
      </c>
      <c r="K61" s="402">
        <v>35</v>
      </c>
      <c r="L61" s="402" t="s">
        <v>1138</v>
      </c>
      <c r="M61" s="402" t="s">
        <v>419</v>
      </c>
      <c r="N61" s="402" t="s">
        <v>1139</v>
      </c>
      <c r="O61" s="402"/>
      <c r="P61" s="405"/>
      <c r="Q61" s="405"/>
      <c r="R61" s="407"/>
      <c r="S61" s="405"/>
      <c r="T61" s="405"/>
      <c r="U61" s="407"/>
      <c r="V61" s="408"/>
      <c r="W61" s="405"/>
      <c r="X61" s="406"/>
      <c r="Y61" s="379"/>
      <c r="Z61" s="379"/>
    </row>
    <row r="62" spans="1:26">
      <c r="A62" s="409" t="s">
        <v>1250</v>
      </c>
      <c r="B62" s="410" t="s">
        <v>1265</v>
      </c>
      <c r="C62" s="423" t="s">
        <v>1266</v>
      </c>
      <c r="D62" s="402">
        <v>75</v>
      </c>
      <c r="E62" s="402">
        <v>70</v>
      </c>
      <c r="F62" s="402">
        <v>60</v>
      </c>
      <c r="G62" s="410">
        <v>30</v>
      </c>
      <c r="H62" s="402">
        <v>4</v>
      </c>
      <c r="I62" s="402">
        <v>2</v>
      </c>
      <c r="J62" s="402" t="s">
        <v>1137</v>
      </c>
      <c r="K62" s="402">
        <v>40</v>
      </c>
      <c r="L62" s="402" t="s">
        <v>1138</v>
      </c>
      <c r="M62" s="402" t="s">
        <v>419</v>
      </c>
      <c r="N62" s="402" t="s">
        <v>1139</v>
      </c>
      <c r="O62" s="402"/>
      <c r="P62" s="405"/>
      <c r="Q62" s="405"/>
      <c r="R62" s="407"/>
      <c r="S62" s="405"/>
      <c r="T62" s="405"/>
      <c r="U62" s="407"/>
      <c r="V62" s="408"/>
      <c r="W62" s="405"/>
      <c r="X62" s="406"/>
      <c r="Y62" s="379"/>
      <c r="Z62" s="379"/>
    </row>
    <row r="63" spans="1:26" ht="91.8">
      <c r="A63" s="400" t="s">
        <v>1250</v>
      </c>
      <c r="B63" s="410" t="s">
        <v>1199</v>
      </c>
      <c r="C63" s="410" t="s">
        <v>1267</v>
      </c>
      <c r="D63" s="403">
        <v>75</v>
      </c>
      <c r="E63" s="402">
        <v>70</v>
      </c>
      <c r="F63" s="402">
        <v>60</v>
      </c>
      <c r="G63" s="410">
        <v>30</v>
      </c>
      <c r="H63" s="402">
        <v>4</v>
      </c>
      <c r="I63" s="402">
        <v>2</v>
      </c>
      <c r="J63" s="402" t="s">
        <v>1137</v>
      </c>
      <c r="K63" s="402">
        <v>35</v>
      </c>
      <c r="L63" s="402" t="s">
        <v>1138</v>
      </c>
      <c r="M63" s="403" t="s">
        <v>419</v>
      </c>
      <c r="N63" s="402" t="s">
        <v>1139</v>
      </c>
      <c r="O63" s="411"/>
      <c r="P63" s="405" t="s">
        <v>1142</v>
      </c>
      <c r="Q63" s="405"/>
      <c r="R63" s="407"/>
      <c r="S63" s="405"/>
      <c r="T63" s="405"/>
      <c r="U63" s="407"/>
      <c r="V63" s="408"/>
      <c r="W63" s="405"/>
      <c r="X63" s="406"/>
      <c r="Y63" s="379"/>
      <c r="Z63" s="379"/>
    </row>
    <row r="64" spans="1:26" ht="30.6">
      <c r="A64" s="400" t="s">
        <v>1250</v>
      </c>
      <c r="B64" s="410" t="s">
        <v>1201</v>
      </c>
      <c r="C64" s="402" t="s">
        <v>1268</v>
      </c>
      <c r="D64" s="403">
        <v>75</v>
      </c>
      <c r="E64" s="402">
        <v>70</v>
      </c>
      <c r="F64" s="402">
        <v>60</v>
      </c>
      <c r="G64" s="410">
        <v>30</v>
      </c>
      <c r="H64" s="402">
        <v>4</v>
      </c>
      <c r="I64" s="402">
        <v>2</v>
      </c>
      <c r="J64" s="402" t="s">
        <v>1137</v>
      </c>
      <c r="K64" s="402">
        <v>40</v>
      </c>
      <c r="L64" s="402" t="s">
        <v>1138</v>
      </c>
      <c r="M64" s="403" t="s">
        <v>419</v>
      </c>
      <c r="N64" s="402" t="s">
        <v>1139</v>
      </c>
      <c r="O64" s="411"/>
      <c r="P64" s="405" t="s">
        <v>1203</v>
      </c>
      <c r="Q64" s="405"/>
      <c r="R64" s="407"/>
      <c r="S64" s="405"/>
      <c r="T64" s="405"/>
      <c r="U64" s="407"/>
      <c r="V64" s="408"/>
      <c r="W64" s="405"/>
      <c r="X64" s="406"/>
      <c r="Y64" s="379"/>
      <c r="Z64" s="379"/>
    </row>
    <row r="65" spans="1:26" ht="20.399999999999999">
      <c r="A65" s="400" t="s">
        <v>1250</v>
      </c>
      <c r="B65" s="410" t="s">
        <v>1204</v>
      </c>
      <c r="C65" s="402" t="s">
        <v>1269</v>
      </c>
      <c r="D65" s="403">
        <v>75</v>
      </c>
      <c r="E65" s="402">
        <v>70</v>
      </c>
      <c r="F65" s="402">
        <v>60</v>
      </c>
      <c r="G65" s="410">
        <v>30</v>
      </c>
      <c r="H65" s="402">
        <v>4</v>
      </c>
      <c r="I65" s="402">
        <v>2</v>
      </c>
      <c r="J65" s="402" t="s">
        <v>1137</v>
      </c>
      <c r="K65" s="402">
        <v>40</v>
      </c>
      <c r="L65" s="402" t="s">
        <v>1138</v>
      </c>
      <c r="M65" s="403" t="s">
        <v>419</v>
      </c>
      <c r="N65" s="402" t="s">
        <v>1139</v>
      </c>
      <c r="O65" s="411"/>
      <c r="P65" s="405"/>
      <c r="Q65" s="405"/>
      <c r="R65" s="407"/>
      <c r="S65" s="405"/>
      <c r="T65" s="405"/>
      <c r="U65" s="407"/>
      <c r="V65" s="408"/>
      <c r="W65" s="405"/>
      <c r="X65" s="406"/>
      <c r="Y65" s="379"/>
      <c r="Z65" s="379"/>
    </row>
    <row r="66" spans="1:26" ht="20.399999999999999">
      <c r="A66" s="400" t="s">
        <v>1250</v>
      </c>
      <c r="B66" s="410" t="s">
        <v>1206</v>
      </c>
      <c r="C66" s="402" t="s">
        <v>1270</v>
      </c>
      <c r="D66" s="403">
        <v>75</v>
      </c>
      <c r="E66" s="402">
        <v>70</v>
      </c>
      <c r="F66" s="402">
        <v>60</v>
      </c>
      <c r="G66" s="410">
        <v>30</v>
      </c>
      <c r="H66" s="402">
        <v>4</v>
      </c>
      <c r="I66" s="402">
        <v>2</v>
      </c>
      <c r="J66" s="402" t="s">
        <v>1137</v>
      </c>
      <c r="K66" s="402">
        <v>35</v>
      </c>
      <c r="L66" s="402" t="s">
        <v>1138</v>
      </c>
      <c r="M66" s="403" t="s">
        <v>419</v>
      </c>
      <c r="N66" s="402" t="s">
        <v>1139</v>
      </c>
      <c r="O66" s="411"/>
      <c r="P66" s="405"/>
      <c r="Q66" s="405"/>
      <c r="R66" s="407"/>
      <c r="S66" s="405"/>
      <c r="T66" s="405"/>
      <c r="U66" s="407"/>
      <c r="V66" s="408"/>
      <c r="W66" s="405"/>
      <c r="X66" s="406"/>
      <c r="Y66" s="379"/>
      <c r="Z66" s="379"/>
    </row>
    <row r="67" spans="1:26">
      <c r="A67" s="400" t="s">
        <v>1250</v>
      </c>
      <c r="B67" s="410" t="s">
        <v>1271</v>
      </c>
      <c r="C67" s="402" t="s">
        <v>1272</v>
      </c>
      <c r="D67" s="402">
        <v>75</v>
      </c>
      <c r="E67" s="402">
        <v>70</v>
      </c>
      <c r="F67" s="402">
        <v>60</v>
      </c>
      <c r="G67" s="410">
        <v>30</v>
      </c>
      <c r="H67" s="402">
        <v>4</v>
      </c>
      <c r="I67" s="402">
        <v>2</v>
      </c>
      <c r="J67" s="402" t="s">
        <v>1137</v>
      </c>
      <c r="K67" s="402">
        <v>40</v>
      </c>
      <c r="L67" s="402" t="s">
        <v>1138</v>
      </c>
      <c r="M67" s="402" t="s">
        <v>419</v>
      </c>
      <c r="N67" s="402" t="s">
        <v>1139</v>
      </c>
      <c r="O67" s="417"/>
      <c r="P67" s="405"/>
      <c r="Q67" s="405"/>
      <c r="R67" s="407"/>
      <c r="S67" s="405"/>
      <c r="T67" s="405"/>
      <c r="U67" s="407"/>
      <c r="V67" s="408"/>
      <c r="W67" s="405"/>
      <c r="X67" s="406"/>
      <c r="Y67" s="379"/>
      <c r="Z67" s="379"/>
    </row>
    <row r="68" spans="1:26" ht="20.399999999999999">
      <c r="A68" s="400" t="s">
        <v>1250</v>
      </c>
      <c r="B68" s="410" t="s">
        <v>1208</v>
      </c>
      <c r="C68" s="402" t="s">
        <v>1273</v>
      </c>
      <c r="D68" s="403">
        <v>75</v>
      </c>
      <c r="E68" s="402">
        <v>70</v>
      </c>
      <c r="F68" s="402">
        <v>60</v>
      </c>
      <c r="G68" s="410">
        <v>30</v>
      </c>
      <c r="H68" s="402">
        <v>4</v>
      </c>
      <c r="I68" s="402">
        <v>2</v>
      </c>
      <c r="J68" s="402" t="s">
        <v>1137</v>
      </c>
      <c r="K68" s="402">
        <v>40</v>
      </c>
      <c r="L68" s="402" t="s">
        <v>1138</v>
      </c>
      <c r="M68" s="403" t="s">
        <v>419</v>
      </c>
      <c r="N68" s="402" t="s">
        <v>1139</v>
      </c>
      <c r="O68" s="411"/>
      <c r="P68" s="405"/>
      <c r="Q68" s="405"/>
      <c r="R68" s="407"/>
      <c r="S68" s="405"/>
      <c r="T68" s="405"/>
      <c r="U68" s="407"/>
      <c r="V68" s="408"/>
      <c r="W68" s="405"/>
      <c r="X68" s="406"/>
      <c r="Y68" s="379"/>
      <c r="Z68" s="379"/>
    </row>
    <row r="69" spans="1:26">
      <c r="A69" s="400" t="s">
        <v>1250</v>
      </c>
      <c r="B69" s="410" t="s">
        <v>1274</v>
      </c>
      <c r="C69" s="402" t="s">
        <v>1275</v>
      </c>
      <c r="D69" s="403">
        <v>75</v>
      </c>
      <c r="E69" s="402">
        <v>70</v>
      </c>
      <c r="F69" s="402">
        <v>60</v>
      </c>
      <c r="G69" s="410">
        <v>30</v>
      </c>
      <c r="H69" s="402">
        <v>4</v>
      </c>
      <c r="I69" s="402">
        <v>2</v>
      </c>
      <c r="J69" s="402" t="s">
        <v>1137</v>
      </c>
      <c r="K69" s="402">
        <v>40</v>
      </c>
      <c r="L69" s="402" t="s">
        <v>1138</v>
      </c>
      <c r="M69" s="403" t="s">
        <v>419</v>
      </c>
      <c r="N69" s="402" t="s">
        <v>1139</v>
      </c>
      <c r="O69" s="411"/>
      <c r="P69" s="405"/>
      <c r="Q69" s="405"/>
      <c r="R69" s="407"/>
      <c r="S69" s="405"/>
      <c r="T69" s="405"/>
      <c r="U69" s="407"/>
      <c r="V69" s="408"/>
      <c r="W69" s="405"/>
      <c r="X69" s="406"/>
      <c r="Y69" s="379"/>
      <c r="Z69" s="379"/>
    </row>
    <row r="70" spans="1:26">
      <c r="A70" s="400" t="s">
        <v>1250</v>
      </c>
      <c r="B70" s="410" t="s">
        <v>1276</v>
      </c>
      <c r="C70" s="402" t="s">
        <v>1277</v>
      </c>
      <c r="D70" s="403">
        <v>75</v>
      </c>
      <c r="E70" s="402">
        <v>70</v>
      </c>
      <c r="F70" s="402">
        <v>60</v>
      </c>
      <c r="G70" s="410">
        <v>30</v>
      </c>
      <c r="H70" s="402">
        <v>6</v>
      </c>
      <c r="I70" s="402">
        <v>2</v>
      </c>
      <c r="J70" s="402" t="s">
        <v>1137</v>
      </c>
      <c r="K70" s="402">
        <v>40</v>
      </c>
      <c r="L70" s="418" t="s">
        <v>1221</v>
      </c>
      <c r="M70" s="403" t="s">
        <v>419</v>
      </c>
      <c r="N70" s="402" t="s">
        <v>1139</v>
      </c>
      <c r="O70" s="411"/>
      <c r="P70" s="405"/>
      <c r="Q70" s="405"/>
      <c r="R70" s="407"/>
      <c r="S70" s="405"/>
      <c r="T70" s="405"/>
      <c r="U70" s="407"/>
      <c r="V70" s="408"/>
      <c r="W70" s="405"/>
      <c r="X70" s="406"/>
      <c r="Y70" s="379"/>
      <c r="Z70" s="379"/>
    </row>
    <row r="71" spans="1:26" ht="91.8">
      <c r="A71" s="400" t="s">
        <v>1250</v>
      </c>
      <c r="B71" s="410" t="s">
        <v>1210</v>
      </c>
      <c r="C71" s="402" t="s">
        <v>1278</v>
      </c>
      <c r="D71" s="403">
        <v>75</v>
      </c>
      <c r="E71" s="402">
        <v>70</v>
      </c>
      <c r="F71" s="402">
        <v>60</v>
      </c>
      <c r="G71" s="410">
        <v>30</v>
      </c>
      <c r="H71" s="402">
        <v>4</v>
      </c>
      <c r="I71" s="402">
        <v>2</v>
      </c>
      <c r="J71" s="402" t="s">
        <v>1137</v>
      </c>
      <c r="K71" s="402">
        <v>35</v>
      </c>
      <c r="L71" s="402" t="s">
        <v>1138</v>
      </c>
      <c r="M71" s="403" t="s">
        <v>419</v>
      </c>
      <c r="N71" s="402" t="s">
        <v>1139</v>
      </c>
      <c r="O71" s="411"/>
      <c r="P71" s="405" t="s">
        <v>1142</v>
      </c>
      <c r="Q71" s="405"/>
      <c r="R71" s="407"/>
      <c r="S71" s="405"/>
      <c r="T71" s="405"/>
      <c r="U71" s="407"/>
      <c r="V71" s="408"/>
      <c r="W71" s="405"/>
      <c r="X71" s="406"/>
      <c r="Y71" s="379"/>
      <c r="Z71" s="379"/>
    </row>
    <row r="72" spans="1:26" ht="20.399999999999999">
      <c r="A72" s="400" t="s">
        <v>1250</v>
      </c>
      <c r="B72" s="410" t="s">
        <v>1279</v>
      </c>
      <c r="C72" s="402" t="s">
        <v>1280</v>
      </c>
      <c r="D72" s="403" t="s">
        <v>404</v>
      </c>
      <c r="E72" s="402" t="s">
        <v>404</v>
      </c>
      <c r="F72" s="402" t="s">
        <v>404</v>
      </c>
      <c r="G72" s="402" t="s">
        <v>404</v>
      </c>
      <c r="H72" s="402" t="s">
        <v>404</v>
      </c>
      <c r="I72" s="402" t="s">
        <v>404</v>
      </c>
      <c r="J72" s="402" t="s">
        <v>404</v>
      </c>
      <c r="K72" s="402" t="s">
        <v>404</v>
      </c>
      <c r="L72" s="402" t="s">
        <v>404</v>
      </c>
      <c r="M72" s="403" t="s">
        <v>404</v>
      </c>
      <c r="N72" s="402" t="s">
        <v>404</v>
      </c>
      <c r="O72" s="401"/>
      <c r="P72" s="405" t="s">
        <v>1256</v>
      </c>
      <c r="Q72" s="405"/>
      <c r="R72" s="407"/>
      <c r="S72" s="405"/>
      <c r="T72" s="405"/>
      <c r="U72" s="407"/>
      <c r="V72" s="408"/>
      <c r="W72" s="405"/>
      <c r="X72" s="406"/>
      <c r="Y72" s="379"/>
      <c r="Z72" s="379"/>
    </row>
    <row r="73" spans="1:26" ht="51">
      <c r="A73" s="400" t="s">
        <v>1250</v>
      </c>
      <c r="B73" s="410" t="s">
        <v>1212</v>
      </c>
      <c r="C73" s="402" t="s">
        <v>1281</v>
      </c>
      <c r="D73" s="403">
        <v>75</v>
      </c>
      <c r="E73" s="402">
        <v>70</v>
      </c>
      <c r="F73" s="402">
        <v>60</v>
      </c>
      <c r="G73" s="410">
        <v>30</v>
      </c>
      <c r="H73" s="402">
        <v>10</v>
      </c>
      <c r="I73" s="402" t="s">
        <v>404</v>
      </c>
      <c r="J73" s="402" t="s">
        <v>1123</v>
      </c>
      <c r="K73" s="402">
        <v>40</v>
      </c>
      <c r="L73" s="402" t="s">
        <v>1124</v>
      </c>
      <c r="M73" s="403" t="s">
        <v>419</v>
      </c>
      <c r="N73" s="402" t="s">
        <v>1112</v>
      </c>
      <c r="O73" s="411"/>
      <c r="P73" s="405" t="s">
        <v>1125</v>
      </c>
      <c r="Q73" s="405"/>
      <c r="R73" s="407"/>
      <c r="S73" s="405"/>
      <c r="T73" s="405"/>
      <c r="U73" s="407"/>
      <c r="V73" s="408"/>
      <c r="W73" s="405"/>
      <c r="X73" s="406"/>
      <c r="Y73" s="379"/>
      <c r="Z73" s="379"/>
    </row>
    <row r="74" spans="1:26" ht="51">
      <c r="A74" s="400" t="s">
        <v>1250</v>
      </c>
      <c r="B74" s="410" t="s">
        <v>1214</v>
      </c>
      <c r="C74" s="402" t="s">
        <v>1282</v>
      </c>
      <c r="D74" s="403">
        <v>75</v>
      </c>
      <c r="E74" s="402">
        <v>70</v>
      </c>
      <c r="F74" s="402">
        <v>60</v>
      </c>
      <c r="G74" s="410">
        <v>30</v>
      </c>
      <c r="H74" s="402">
        <v>10</v>
      </c>
      <c r="I74" s="402" t="s">
        <v>404</v>
      </c>
      <c r="J74" s="402" t="s">
        <v>1123</v>
      </c>
      <c r="K74" s="402">
        <v>40</v>
      </c>
      <c r="L74" s="402" t="s">
        <v>1124</v>
      </c>
      <c r="M74" s="403" t="s">
        <v>419</v>
      </c>
      <c r="N74" s="402" t="s">
        <v>1112</v>
      </c>
      <c r="O74" s="411"/>
      <c r="P74" s="405" t="s">
        <v>1125</v>
      </c>
      <c r="Q74" s="405"/>
      <c r="R74" s="407"/>
      <c r="S74" s="405"/>
      <c r="T74" s="405"/>
      <c r="U74" s="407"/>
      <c r="V74" s="408"/>
      <c r="W74" s="405"/>
      <c r="X74" s="406"/>
      <c r="Y74" s="379"/>
      <c r="Z74" s="379"/>
    </row>
    <row r="75" spans="1:26" ht="71.400000000000006">
      <c r="A75" s="400" t="s">
        <v>1250</v>
      </c>
      <c r="B75" s="410" t="s">
        <v>1216</v>
      </c>
      <c r="C75" s="402" t="s">
        <v>1283</v>
      </c>
      <c r="D75" s="403">
        <v>75</v>
      </c>
      <c r="E75" s="402">
        <v>70</v>
      </c>
      <c r="F75" s="402">
        <v>60</v>
      </c>
      <c r="G75" s="410">
        <v>30</v>
      </c>
      <c r="H75" s="402">
        <v>4</v>
      </c>
      <c r="I75" s="402">
        <v>2</v>
      </c>
      <c r="J75" s="402" t="s">
        <v>1123</v>
      </c>
      <c r="K75" s="402">
        <v>40</v>
      </c>
      <c r="L75" s="402" t="s">
        <v>1124</v>
      </c>
      <c r="M75" s="403" t="s">
        <v>419</v>
      </c>
      <c r="N75" s="402" t="s">
        <v>1112</v>
      </c>
      <c r="O75" s="411"/>
      <c r="P75" s="405" t="s">
        <v>1218</v>
      </c>
      <c r="Q75" s="405"/>
      <c r="R75" s="407"/>
      <c r="S75" s="405"/>
      <c r="T75" s="405"/>
      <c r="U75" s="407"/>
      <c r="V75" s="408"/>
      <c r="W75" s="405"/>
      <c r="X75" s="406"/>
      <c r="Y75" s="379"/>
      <c r="Z75" s="379"/>
    </row>
    <row r="76" spans="1:26" ht="30" customHeight="1">
      <c r="A76" s="400" t="s">
        <v>1250</v>
      </c>
      <c r="B76" s="410" t="s">
        <v>1219</v>
      </c>
      <c r="C76" s="410" t="s">
        <v>1284</v>
      </c>
      <c r="D76" s="403">
        <v>75</v>
      </c>
      <c r="E76" s="402">
        <v>70</v>
      </c>
      <c r="F76" s="402">
        <v>60</v>
      </c>
      <c r="G76" s="410">
        <v>30</v>
      </c>
      <c r="H76" s="402">
        <v>6</v>
      </c>
      <c r="I76" s="402">
        <v>2</v>
      </c>
      <c r="J76" s="402" t="s">
        <v>1137</v>
      </c>
      <c r="K76" s="402">
        <v>40</v>
      </c>
      <c r="L76" s="418" t="s">
        <v>1221</v>
      </c>
      <c r="M76" s="403" t="s">
        <v>419</v>
      </c>
      <c r="N76" s="402" t="s">
        <v>1139</v>
      </c>
      <c r="O76" s="411"/>
      <c r="P76" s="405"/>
      <c r="Q76" s="405"/>
      <c r="R76" s="407"/>
      <c r="S76" s="405"/>
      <c r="T76" s="405"/>
      <c r="U76" s="407"/>
      <c r="V76" s="408"/>
      <c r="W76" s="405"/>
      <c r="X76" s="406"/>
      <c r="Y76" s="379"/>
      <c r="Z76" s="379"/>
    </row>
    <row r="77" spans="1:26" ht="91.8">
      <c r="A77" s="400" t="s">
        <v>1250</v>
      </c>
      <c r="B77" s="410" t="s">
        <v>1222</v>
      </c>
      <c r="C77" s="402" t="s">
        <v>1285</v>
      </c>
      <c r="D77" s="403">
        <v>75</v>
      </c>
      <c r="E77" s="402">
        <v>70</v>
      </c>
      <c r="F77" s="402">
        <v>60</v>
      </c>
      <c r="G77" s="410">
        <v>30</v>
      </c>
      <c r="H77" s="402">
        <v>4</v>
      </c>
      <c r="I77" s="402">
        <v>2</v>
      </c>
      <c r="J77" s="402" t="s">
        <v>1137</v>
      </c>
      <c r="K77" s="402">
        <v>35</v>
      </c>
      <c r="L77" s="402" t="s">
        <v>1138</v>
      </c>
      <c r="M77" s="403" t="s">
        <v>419</v>
      </c>
      <c r="N77" s="402" t="s">
        <v>1139</v>
      </c>
      <c r="O77" s="411"/>
      <c r="P77" s="405" t="s">
        <v>1142</v>
      </c>
      <c r="Q77" s="405"/>
      <c r="R77" s="407"/>
      <c r="S77" s="405"/>
      <c r="T77" s="405"/>
      <c r="U77" s="407"/>
      <c r="V77" s="408"/>
      <c r="W77" s="405"/>
      <c r="X77" s="406"/>
      <c r="Y77" s="379"/>
      <c r="Z77" s="379"/>
    </row>
    <row r="78" spans="1:26">
      <c r="A78" s="400" t="s">
        <v>1250</v>
      </c>
      <c r="B78" s="410" t="s">
        <v>1286</v>
      </c>
      <c r="C78" s="402" t="s">
        <v>1287</v>
      </c>
      <c r="D78" s="403">
        <v>75</v>
      </c>
      <c r="E78" s="402">
        <v>70</v>
      </c>
      <c r="F78" s="402">
        <v>60</v>
      </c>
      <c r="G78" s="402">
        <v>30</v>
      </c>
      <c r="H78" s="402">
        <v>6</v>
      </c>
      <c r="I78" s="402">
        <v>2</v>
      </c>
      <c r="J78" s="402" t="s">
        <v>1137</v>
      </c>
      <c r="K78" s="402">
        <v>40</v>
      </c>
      <c r="L78" s="418" t="s">
        <v>1221</v>
      </c>
      <c r="M78" s="403" t="s">
        <v>419</v>
      </c>
      <c r="N78" s="402" t="s">
        <v>1139</v>
      </c>
      <c r="O78" s="411"/>
      <c r="P78" s="405"/>
      <c r="Q78" s="405"/>
      <c r="R78" s="407"/>
      <c r="S78" s="405"/>
      <c r="T78" s="405"/>
      <c r="U78" s="407"/>
      <c r="V78" s="408"/>
      <c r="W78" s="405"/>
      <c r="X78" s="406"/>
      <c r="Y78" s="379"/>
      <c r="Z78" s="379"/>
    </row>
    <row r="79" spans="1:26" ht="20.399999999999999">
      <c r="A79" s="400" t="s">
        <v>1288</v>
      </c>
      <c r="B79" s="401" t="s">
        <v>1289</v>
      </c>
      <c r="C79" s="402" t="s">
        <v>1290</v>
      </c>
      <c r="D79" s="403">
        <v>75</v>
      </c>
      <c r="E79" s="402">
        <v>70</v>
      </c>
      <c r="F79" s="402">
        <v>60</v>
      </c>
      <c r="G79" s="402">
        <v>30</v>
      </c>
      <c r="H79" s="402">
        <v>4</v>
      </c>
      <c r="I79" s="402">
        <v>2</v>
      </c>
      <c r="J79" s="402" t="s">
        <v>1137</v>
      </c>
      <c r="K79" s="402">
        <v>35</v>
      </c>
      <c r="L79" s="402" t="s">
        <v>1138</v>
      </c>
      <c r="M79" s="403" t="s">
        <v>420</v>
      </c>
      <c r="N79" s="402" t="s">
        <v>1139</v>
      </c>
      <c r="O79" s="401"/>
      <c r="P79" s="405" t="s">
        <v>1291</v>
      </c>
      <c r="Q79" s="405"/>
      <c r="R79" s="407"/>
      <c r="S79" s="405"/>
      <c r="T79" s="405"/>
      <c r="U79" s="407"/>
      <c r="V79" s="408"/>
      <c r="W79" s="405"/>
      <c r="X79" s="406"/>
      <c r="Y79" s="379"/>
      <c r="Z79" s="379"/>
    </row>
    <row r="80" spans="1:26" ht="30.6">
      <c r="A80" s="400" t="s">
        <v>1288</v>
      </c>
      <c r="B80" s="401" t="s">
        <v>1292</v>
      </c>
      <c r="C80" s="402" t="s">
        <v>1293</v>
      </c>
      <c r="D80" s="403" t="s">
        <v>404</v>
      </c>
      <c r="E80" s="402" t="s">
        <v>404</v>
      </c>
      <c r="F80" s="402" t="s">
        <v>404</v>
      </c>
      <c r="G80" s="402" t="s">
        <v>404</v>
      </c>
      <c r="H80" s="402">
        <v>4</v>
      </c>
      <c r="I80" s="402" t="s">
        <v>404</v>
      </c>
      <c r="J80" s="402" t="s">
        <v>1137</v>
      </c>
      <c r="K80" s="402">
        <v>35</v>
      </c>
      <c r="L80" s="402" t="s">
        <v>1138</v>
      </c>
      <c r="M80" s="403" t="s">
        <v>420</v>
      </c>
      <c r="N80" s="402" t="s">
        <v>1139</v>
      </c>
      <c r="O80" s="401"/>
      <c r="P80" s="405" t="s">
        <v>1294</v>
      </c>
      <c r="Q80" s="405"/>
      <c r="R80" s="407"/>
      <c r="S80" s="405"/>
      <c r="T80" s="405"/>
      <c r="U80" s="407"/>
      <c r="V80" s="408"/>
      <c r="W80" s="405"/>
      <c r="X80" s="406"/>
      <c r="Y80" s="379"/>
      <c r="Z80" s="379"/>
    </row>
    <row r="81" spans="1:26">
      <c r="A81" s="400" t="s">
        <v>1288</v>
      </c>
      <c r="B81" s="401" t="s">
        <v>1295</v>
      </c>
      <c r="C81" s="402" t="s">
        <v>1296</v>
      </c>
      <c r="D81" s="403">
        <v>75</v>
      </c>
      <c r="E81" s="402">
        <v>70</v>
      </c>
      <c r="F81" s="402">
        <v>60</v>
      </c>
      <c r="G81" s="402" t="s">
        <v>404</v>
      </c>
      <c r="H81" s="402">
        <v>4</v>
      </c>
      <c r="I81" s="402">
        <v>2</v>
      </c>
      <c r="J81" s="402" t="s">
        <v>1137</v>
      </c>
      <c r="K81" s="402">
        <v>35</v>
      </c>
      <c r="L81" s="402" t="s">
        <v>1138</v>
      </c>
      <c r="M81" s="403" t="s">
        <v>419</v>
      </c>
      <c r="N81" s="402" t="s">
        <v>1139</v>
      </c>
      <c r="O81" s="401"/>
      <c r="P81" s="405"/>
      <c r="Q81" s="405"/>
      <c r="R81" s="407"/>
      <c r="S81" s="405"/>
      <c r="T81" s="405"/>
      <c r="U81" s="407"/>
      <c r="V81" s="408"/>
      <c r="W81" s="405"/>
      <c r="X81" s="406"/>
      <c r="Y81" s="379"/>
      <c r="Z81" s="379"/>
    </row>
    <row r="82" spans="1:26" ht="40.799999999999997">
      <c r="A82" s="400" t="s">
        <v>1288</v>
      </c>
      <c r="B82" s="401" t="s">
        <v>1297</v>
      </c>
      <c r="C82" s="402" t="s">
        <v>1298</v>
      </c>
      <c r="D82" s="403">
        <v>75</v>
      </c>
      <c r="E82" s="402">
        <v>70</v>
      </c>
      <c r="F82" s="402">
        <v>60</v>
      </c>
      <c r="G82" s="402">
        <v>30</v>
      </c>
      <c r="H82" s="402">
        <v>4</v>
      </c>
      <c r="I82" s="402">
        <v>2</v>
      </c>
      <c r="J82" s="402" t="s">
        <v>1137</v>
      </c>
      <c r="K82" s="402">
        <v>40</v>
      </c>
      <c r="L82" s="402" t="s">
        <v>1138</v>
      </c>
      <c r="M82" s="403" t="s">
        <v>419</v>
      </c>
      <c r="N82" s="402" t="s">
        <v>1139</v>
      </c>
      <c r="O82" s="401"/>
      <c r="P82" s="405" t="s">
        <v>1299</v>
      </c>
      <c r="Q82" s="405"/>
      <c r="R82" s="407"/>
      <c r="S82" s="405"/>
      <c r="T82" s="405"/>
      <c r="U82" s="407"/>
      <c r="V82" s="408"/>
      <c r="W82" s="405"/>
      <c r="X82" s="406"/>
      <c r="Y82" s="379"/>
      <c r="Z82" s="379"/>
    </row>
    <row r="83" spans="1:26" ht="71.400000000000006">
      <c r="A83" s="400" t="s">
        <v>1288</v>
      </c>
      <c r="B83" s="401" t="s">
        <v>1300</v>
      </c>
      <c r="C83" s="402" t="s">
        <v>1301</v>
      </c>
      <c r="D83" s="403">
        <v>75</v>
      </c>
      <c r="E83" s="402">
        <v>70</v>
      </c>
      <c r="F83" s="402">
        <v>60</v>
      </c>
      <c r="G83" s="402">
        <v>30</v>
      </c>
      <c r="H83" s="402">
        <v>4</v>
      </c>
      <c r="I83" s="402">
        <v>2</v>
      </c>
      <c r="J83" s="402" t="s">
        <v>1137</v>
      </c>
      <c r="K83" s="402">
        <v>40</v>
      </c>
      <c r="L83" s="402" t="s">
        <v>1111</v>
      </c>
      <c r="M83" s="403" t="s">
        <v>419</v>
      </c>
      <c r="N83" s="402" t="s">
        <v>1139</v>
      </c>
      <c r="O83" s="401"/>
      <c r="P83" s="405" t="s">
        <v>1302</v>
      </c>
      <c r="Q83" s="405" t="s">
        <v>1303</v>
      </c>
      <c r="R83" s="407"/>
      <c r="S83" s="405"/>
      <c r="T83" s="405"/>
      <c r="U83" s="407"/>
      <c r="V83" s="408"/>
      <c r="W83" s="405"/>
      <c r="X83" s="406"/>
      <c r="Y83" s="379"/>
      <c r="Z83" s="379"/>
    </row>
    <row r="84" spans="1:26" ht="224.4">
      <c r="A84" s="400" t="s">
        <v>1288</v>
      </c>
      <c r="B84" s="401" t="s">
        <v>1304</v>
      </c>
      <c r="C84" s="402" t="s">
        <v>1305</v>
      </c>
      <c r="D84" s="403">
        <v>75</v>
      </c>
      <c r="E84" s="402">
        <v>70</v>
      </c>
      <c r="F84" s="402">
        <v>60</v>
      </c>
      <c r="G84" s="402" t="s">
        <v>404</v>
      </c>
      <c r="H84" s="402">
        <v>6</v>
      </c>
      <c r="I84" s="402">
        <v>2</v>
      </c>
      <c r="J84" s="402" t="s">
        <v>1306</v>
      </c>
      <c r="K84" s="402">
        <v>40</v>
      </c>
      <c r="L84" s="418" t="s">
        <v>1124</v>
      </c>
      <c r="M84" s="403" t="s">
        <v>419</v>
      </c>
      <c r="N84" s="402" t="s">
        <v>1112</v>
      </c>
      <c r="O84" s="401"/>
      <c r="P84" s="405" t="s">
        <v>1307</v>
      </c>
      <c r="Q84" s="405" t="s">
        <v>1308</v>
      </c>
      <c r="R84" s="405" t="s">
        <v>1309</v>
      </c>
      <c r="S84" s="407" t="s">
        <v>1310</v>
      </c>
      <c r="T84" s="405"/>
      <c r="U84" s="407"/>
      <c r="V84" s="408"/>
      <c r="W84" s="405"/>
      <c r="X84" s="406"/>
      <c r="Y84" s="379"/>
      <c r="Z84" s="379"/>
    </row>
    <row r="85" spans="1:26" ht="20.399999999999999">
      <c r="A85" s="400" t="s">
        <v>1288</v>
      </c>
      <c r="B85" s="401" t="s">
        <v>1311</v>
      </c>
      <c r="C85" s="402" t="s">
        <v>1312</v>
      </c>
      <c r="D85" s="403" t="s">
        <v>404</v>
      </c>
      <c r="E85" s="402" t="s">
        <v>404</v>
      </c>
      <c r="F85" s="402" t="s">
        <v>404</v>
      </c>
      <c r="G85" s="402" t="s">
        <v>404</v>
      </c>
      <c r="H85" s="402" t="s">
        <v>404</v>
      </c>
      <c r="I85" s="402" t="s">
        <v>404</v>
      </c>
      <c r="J85" s="402" t="s">
        <v>404</v>
      </c>
      <c r="K85" s="402" t="s">
        <v>404</v>
      </c>
      <c r="L85" s="402" t="s">
        <v>404</v>
      </c>
      <c r="M85" s="403" t="s">
        <v>404</v>
      </c>
      <c r="N85" s="402" t="s">
        <v>404</v>
      </c>
      <c r="O85" s="401"/>
      <c r="P85" s="405" t="s">
        <v>1307</v>
      </c>
      <c r="Q85" s="405"/>
      <c r="R85" s="407"/>
      <c r="S85" s="405"/>
      <c r="T85" s="405"/>
      <c r="U85" s="407"/>
      <c r="V85" s="408"/>
      <c r="W85" s="405"/>
      <c r="X85" s="406"/>
      <c r="Y85" s="379"/>
      <c r="Z85" s="379"/>
    </row>
    <row r="86" spans="1:26">
      <c r="A86" s="400" t="s">
        <v>1288</v>
      </c>
      <c r="B86" s="401" t="s">
        <v>1313</v>
      </c>
      <c r="C86" s="402" t="s">
        <v>1314</v>
      </c>
      <c r="D86" s="403" t="s">
        <v>404</v>
      </c>
      <c r="E86" s="402" t="s">
        <v>404</v>
      </c>
      <c r="F86" s="402" t="s">
        <v>404</v>
      </c>
      <c r="G86" s="402" t="s">
        <v>404</v>
      </c>
      <c r="H86" s="402">
        <v>10</v>
      </c>
      <c r="I86" s="402" t="s">
        <v>404</v>
      </c>
      <c r="J86" s="402" t="s">
        <v>1123</v>
      </c>
      <c r="K86" s="402">
        <v>40</v>
      </c>
      <c r="L86" s="402" t="s">
        <v>1315</v>
      </c>
      <c r="M86" s="403" t="s">
        <v>420</v>
      </c>
      <c r="N86" s="402" t="s">
        <v>1112</v>
      </c>
      <c r="O86" s="401"/>
      <c r="P86" s="405"/>
      <c r="Q86" s="405"/>
      <c r="R86" s="407"/>
      <c r="S86" s="405"/>
      <c r="T86" s="405"/>
      <c r="U86" s="407"/>
      <c r="V86" s="408"/>
      <c r="W86" s="405"/>
      <c r="X86" s="406"/>
      <c r="Y86" s="379"/>
      <c r="Z86" s="379"/>
    </row>
    <row r="87" spans="1:26">
      <c r="A87" s="400" t="s">
        <v>1288</v>
      </c>
      <c r="B87" s="401" t="s">
        <v>1316</v>
      </c>
      <c r="C87" s="402" t="s">
        <v>1317</v>
      </c>
      <c r="D87" s="403" t="s">
        <v>404</v>
      </c>
      <c r="E87" s="402" t="s">
        <v>404</v>
      </c>
      <c r="F87" s="402" t="s">
        <v>404</v>
      </c>
      <c r="G87" s="402" t="s">
        <v>404</v>
      </c>
      <c r="H87" s="402">
        <v>10</v>
      </c>
      <c r="I87" s="402" t="s">
        <v>404</v>
      </c>
      <c r="J87" s="402" t="s">
        <v>1123</v>
      </c>
      <c r="K87" s="402">
        <v>40</v>
      </c>
      <c r="L87" s="402" t="s">
        <v>1315</v>
      </c>
      <c r="M87" s="403" t="s">
        <v>420</v>
      </c>
      <c r="N87" s="402" t="s">
        <v>1112</v>
      </c>
      <c r="O87" s="401"/>
      <c r="P87" s="405"/>
      <c r="Q87" s="405"/>
      <c r="R87" s="407"/>
      <c r="S87" s="405"/>
      <c r="T87" s="405"/>
      <c r="U87" s="407"/>
      <c r="V87" s="408"/>
      <c r="W87" s="405"/>
      <c r="X87" s="406"/>
      <c r="Y87" s="379"/>
      <c r="Z87" s="379"/>
    </row>
    <row r="88" spans="1:26">
      <c r="A88" s="400" t="s">
        <v>1288</v>
      </c>
      <c r="B88" s="401" t="s">
        <v>1318</v>
      </c>
      <c r="C88" s="402" t="s">
        <v>1319</v>
      </c>
      <c r="D88" s="403">
        <v>75</v>
      </c>
      <c r="E88" s="402">
        <v>70</v>
      </c>
      <c r="F88" s="402">
        <v>60</v>
      </c>
      <c r="G88" s="402">
        <v>30</v>
      </c>
      <c r="H88" s="402">
        <v>4</v>
      </c>
      <c r="I88" s="402">
        <v>2</v>
      </c>
      <c r="J88" s="402" t="s">
        <v>1137</v>
      </c>
      <c r="K88" s="402">
        <v>35</v>
      </c>
      <c r="L88" s="402" t="s">
        <v>1138</v>
      </c>
      <c r="M88" s="403" t="s">
        <v>419</v>
      </c>
      <c r="N88" s="402" t="s">
        <v>1139</v>
      </c>
      <c r="O88" s="401"/>
      <c r="P88" s="405"/>
      <c r="Q88" s="405"/>
      <c r="R88" s="407"/>
      <c r="S88" s="405"/>
      <c r="T88" s="405"/>
      <c r="U88" s="407"/>
      <c r="V88" s="408"/>
      <c r="W88" s="405"/>
      <c r="X88" s="406"/>
      <c r="Y88" s="379"/>
      <c r="Z88" s="379"/>
    </row>
    <row r="89" spans="1:26">
      <c r="A89" s="400" t="s">
        <v>1288</v>
      </c>
      <c r="B89" s="401" t="s">
        <v>1320</v>
      </c>
      <c r="C89" s="402" t="s">
        <v>1321</v>
      </c>
      <c r="D89" s="403">
        <v>75</v>
      </c>
      <c r="E89" s="402">
        <v>70</v>
      </c>
      <c r="F89" s="402">
        <v>60</v>
      </c>
      <c r="G89" s="402">
        <v>30</v>
      </c>
      <c r="H89" s="402">
        <v>4</v>
      </c>
      <c r="I89" s="402">
        <v>2</v>
      </c>
      <c r="J89" s="402" t="s">
        <v>1137</v>
      </c>
      <c r="K89" s="402">
        <v>35</v>
      </c>
      <c r="L89" s="402" t="s">
        <v>1221</v>
      </c>
      <c r="M89" s="403" t="s">
        <v>419</v>
      </c>
      <c r="N89" s="402" t="s">
        <v>1139</v>
      </c>
      <c r="O89" s="401"/>
      <c r="P89" s="405"/>
      <c r="Q89" s="405"/>
      <c r="R89" s="407"/>
      <c r="S89" s="405"/>
      <c r="T89" s="405"/>
      <c r="U89" s="407"/>
      <c r="V89" s="408"/>
      <c r="W89" s="405"/>
      <c r="X89" s="406"/>
      <c r="Y89" s="379"/>
      <c r="Z89" s="379"/>
    </row>
    <row r="90" spans="1:26" ht="81.599999999999994">
      <c r="A90" s="400" t="s">
        <v>1288</v>
      </c>
      <c r="B90" s="401" t="s">
        <v>1322</v>
      </c>
      <c r="C90" s="402" t="s">
        <v>1323</v>
      </c>
      <c r="D90" s="403" t="s">
        <v>404</v>
      </c>
      <c r="E90" s="402">
        <v>70</v>
      </c>
      <c r="F90" s="402" t="s">
        <v>404</v>
      </c>
      <c r="G90" s="402" t="s">
        <v>404</v>
      </c>
      <c r="H90" s="402">
        <v>10</v>
      </c>
      <c r="I90" s="402" t="s">
        <v>404</v>
      </c>
      <c r="J90" s="402" t="s">
        <v>1324</v>
      </c>
      <c r="K90" s="402">
        <v>40</v>
      </c>
      <c r="L90" s="402" t="s">
        <v>1124</v>
      </c>
      <c r="M90" s="403" t="s">
        <v>419</v>
      </c>
      <c r="N90" s="402" t="s">
        <v>1112</v>
      </c>
      <c r="O90" s="401"/>
      <c r="P90" s="405" t="s">
        <v>1325</v>
      </c>
      <c r="Q90" s="405" t="s">
        <v>1326</v>
      </c>
      <c r="R90" s="407"/>
      <c r="S90" s="405"/>
      <c r="T90" s="405"/>
      <c r="U90" s="407"/>
      <c r="V90" s="408"/>
      <c r="W90" s="405"/>
      <c r="X90" s="406"/>
      <c r="Y90" s="379"/>
      <c r="Z90" s="379"/>
    </row>
    <row r="91" spans="1:26" ht="102">
      <c r="A91" s="400" t="s">
        <v>1288</v>
      </c>
      <c r="B91" s="401" t="s">
        <v>1327</v>
      </c>
      <c r="C91" s="402" t="s">
        <v>1328</v>
      </c>
      <c r="D91" s="403">
        <v>75</v>
      </c>
      <c r="E91" s="402">
        <v>82</v>
      </c>
      <c r="F91" s="402">
        <v>60</v>
      </c>
      <c r="G91" s="402" t="s">
        <v>404</v>
      </c>
      <c r="H91" s="402">
        <v>10</v>
      </c>
      <c r="I91" s="402">
        <v>2</v>
      </c>
      <c r="J91" s="402" t="s">
        <v>1329</v>
      </c>
      <c r="K91" s="402">
        <v>40</v>
      </c>
      <c r="L91" s="402" t="s">
        <v>1124</v>
      </c>
      <c r="M91" s="403" t="s">
        <v>419</v>
      </c>
      <c r="N91" s="402" t="s">
        <v>1112</v>
      </c>
      <c r="O91" s="401"/>
      <c r="P91" s="405" t="s">
        <v>1330</v>
      </c>
      <c r="Q91" s="405"/>
      <c r="R91" s="407"/>
      <c r="S91" s="405"/>
      <c r="T91" s="405"/>
      <c r="U91" s="407"/>
      <c r="V91" s="408"/>
      <c r="W91" s="405"/>
      <c r="X91" s="406"/>
      <c r="Y91" s="379"/>
      <c r="Z91" s="379"/>
    </row>
    <row r="92" spans="1:26" ht="91.8">
      <c r="A92" s="400" t="s">
        <v>1288</v>
      </c>
      <c r="B92" s="401" t="s">
        <v>1331</v>
      </c>
      <c r="C92" s="402" t="s">
        <v>735</v>
      </c>
      <c r="D92" s="403" t="s">
        <v>404</v>
      </c>
      <c r="E92" s="402">
        <v>70</v>
      </c>
      <c r="F92" s="402" t="s">
        <v>404</v>
      </c>
      <c r="G92" s="402" t="s">
        <v>404</v>
      </c>
      <c r="H92" s="402">
        <v>10</v>
      </c>
      <c r="I92" s="402" t="s">
        <v>404</v>
      </c>
      <c r="J92" s="402" t="s">
        <v>1329</v>
      </c>
      <c r="K92" s="402">
        <v>40</v>
      </c>
      <c r="L92" s="402" t="s">
        <v>1124</v>
      </c>
      <c r="M92" s="403" t="s">
        <v>419</v>
      </c>
      <c r="N92" s="402" t="s">
        <v>1112</v>
      </c>
      <c r="O92" s="401"/>
      <c r="P92" s="405" t="s">
        <v>1332</v>
      </c>
      <c r="Q92" s="407" t="s">
        <v>1326</v>
      </c>
      <c r="R92" s="407"/>
      <c r="S92" s="405"/>
      <c r="T92" s="405"/>
      <c r="U92" s="407"/>
      <c r="V92" s="408"/>
      <c r="W92" s="405"/>
      <c r="X92" s="406"/>
      <c r="Y92" s="379"/>
      <c r="Z92" s="379"/>
    </row>
    <row r="93" spans="1:26" ht="112.2">
      <c r="A93" s="400" t="s">
        <v>1288</v>
      </c>
      <c r="B93" s="401" t="s">
        <v>1333</v>
      </c>
      <c r="C93" s="402" t="s">
        <v>1334</v>
      </c>
      <c r="D93" s="403">
        <v>78</v>
      </c>
      <c r="E93" s="402">
        <v>70</v>
      </c>
      <c r="F93" s="402">
        <v>60</v>
      </c>
      <c r="G93" s="402" t="s">
        <v>404</v>
      </c>
      <c r="H93" s="402">
        <v>10</v>
      </c>
      <c r="I93" s="402">
        <v>2</v>
      </c>
      <c r="J93" s="402" t="s">
        <v>1324</v>
      </c>
      <c r="K93" s="402">
        <v>45</v>
      </c>
      <c r="L93" s="402" t="s">
        <v>1124</v>
      </c>
      <c r="M93" s="403" t="s">
        <v>419</v>
      </c>
      <c r="N93" s="402" t="s">
        <v>1112</v>
      </c>
      <c r="O93" s="401"/>
      <c r="P93" s="405" t="s">
        <v>1335</v>
      </c>
      <c r="Q93" s="405" t="s">
        <v>1336</v>
      </c>
      <c r="R93" s="407"/>
      <c r="S93" s="405"/>
      <c r="T93" s="405"/>
      <c r="U93" s="407"/>
      <c r="V93" s="408"/>
      <c r="W93" s="405"/>
      <c r="X93" s="406"/>
      <c r="Y93" s="379"/>
      <c r="Z93" s="379"/>
    </row>
    <row r="94" spans="1:26" ht="91.8">
      <c r="A94" s="400" t="s">
        <v>1288</v>
      </c>
      <c r="B94" s="401" t="s">
        <v>1337</v>
      </c>
      <c r="C94" s="402" t="s">
        <v>1338</v>
      </c>
      <c r="D94" s="403" t="s">
        <v>404</v>
      </c>
      <c r="E94" s="402" t="s">
        <v>404</v>
      </c>
      <c r="F94" s="402" t="s">
        <v>404</v>
      </c>
      <c r="G94" s="402" t="s">
        <v>404</v>
      </c>
      <c r="H94" s="402">
        <v>10</v>
      </c>
      <c r="I94" s="402" t="s">
        <v>404</v>
      </c>
      <c r="J94" s="402" t="s">
        <v>1324</v>
      </c>
      <c r="K94" s="402">
        <v>40</v>
      </c>
      <c r="L94" s="402" t="s">
        <v>1339</v>
      </c>
      <c r="M94" s="403" t="s">
        <v>420</v>
      </c>
      <c r="N94" s="402" t="s">
        <v>1112</v>
      </c>
      <c r="O94" s="401"/>
      <c r="P94" s="405" t="s">
        <v>1340</v>
      </c>
      <c r="Q94" s="405"/>
      <c r="R94" s="407"/>
      <c r="S94" s="405"/>
      <c r="T94" s="405"/>
      <c r="U94" s="407"/>
      <c r="V94" s="408"/>
      <c r="W94" s="405"/>
      <c r="X94" s="406"/>
      <c r="Y94" s="379"/>
      <c r="Z94" s="379"/>
    </row>
    <row r="95" spans="1:26" ht="142.80000000000001">
      <c r="A95" s="400" t="s">
        <v>1288</v>
      </c>
      <c r="B95" s="401" t="s">
        <v>1341</v>
      </c>
      <c r="C95" s="402" t="s">
        <v>1342</v>
      </c>
      <c r="D95" s="403" t="s">
        <v>404</v>
      </c>
      <c r="E95" s="402" t="s">
        <v>404</v>
      </c>
      <c r="F95" s="402" t="s">
        <v>404</v>
      </c>
      <c r="G95" s="402" t="s">
        <v>404</v>
      </c>
      <c r="H95" s="402">
        <v>4</v>
      </c>
      <c r="I95" s="402" t="s">
        <v>404</v>
      </c>
      <c r="J95" s="402" t="s">
        <v>1137</v>
      </c>
      <c r="K95" s="402">
        <v>40</v>
      </c>
      <c r="L95" s="402" t="s">
        <v>1343</v>
      </c>
      <c r="M95" s="403" t="s">
        <v>415</v>
      </c>
      <c r="N95" s="402" t="s">
        <v>1112</v>
      </c>
      <c r="O95" s="401"/>
      <c r="P95" s="405" t="s">
        <v>1344</v>
      </c>
      <c r="Q95" s="405" t="s">
        <v>1345</v>
      </c>
      <c r="R95" s="407" t="s">
        <v>1346</v>
      </c>
      <c r="S95" s="405"/>
      <c r="T95" s="405"/>
      <c r="U95" s="407"/>
      <c r="V95" s="408"/>
      <c r="W95" s="405"/>
      <c r="X95" s="406"/>
      <c r="Y95" s="379"/>
      <c r="Z95" s="379"/>
    </row>
    <row r="96" spans="1:26" ht="81.599999999999994">
      <c r="A96" s="400" t="s">
        <v>1288</v>
      </c>
      <c r="B96" s="401" t="s">
        <v>1331</v>
      </c>
      <c r="C96" s="402" t="s">
        <v>1347</v>
      </c>
      <c r="D96" s="403" t="s">
        <v>404</v>
      </c>
      <c r="E96" s="402">
        <v>70</v>
      </c>
      <c r="F96" s="402" t="s">
        <v>404</v>
      </c>
      <c r="G96" s="402" t="s">
        <v>404</v>
      </c>
      <c r="H96" s="402">
        <v>10</v>
      </c>
      <c r="I96" s="402" t="s">
        <v>404</v>
      </c>
      <c r="J96" s="402" t="s">
        <v>1123</v>
      </c>
      <c r="K96" s="402">
        <v>40</v>
      </c>
      <c r="L96" s="402" t="s">
        <v>1315</v>
      </c>
      <c r="M96" s="403" t="s">
        <v>419</v>
      </c>
      <c r="N96" s="402" t="s">
        <v>1112</v>
      </c>
      <c r="O96" s="401"/>
      <c r="P96" s="405" t="s">
        <v>1348</v>
      </c>
      <c r="Q96" s="405" t="s">
        <v>1326</v>
      </c>
      <c r="R96" s="407"/>
      <c r="S96" s="405"/>
      <c r="T96" s="405"/>
      <c r="U96" s="407"/>
      <c r="V96" s="408"/>
      <c r="W96" s="405"/>
      <c r="X96" s="406"/>
      <c r="Y96" s="379"/>
      <c r="Z96" s="379"/>
    </row>
    <row r="97" spans="1:26" ht="51">
      <c r="A97" s="400" t="s">
        <v>1288</v>
      </c>
      <c r="B97" s="401" t="s">
        <v>1349</v>
      </c>
      <c r="C97" s="402" t="s">
        <v>1350</v>
      </c>
      <c r="D97" s="403">
        <v>75</v>
      </c>
      <c r="E97" s="402">
        <v>70</v>
      </c>
      <c r="F97" s="402">
        <v>60</v>
      </c>
      <c r="G97" s="402">
        <v>30</v>
      </c>
      <c r="H97" s="402">
        <v>4</v>
      </c>
      <c r="I97" s="402">
        <v>2</v>
      </c>
      <c r="J97" s="402" t="s">
        <v>1137</v>
      </c>
      <c r="K97" s="402">
        <v>40</v>
      </c>
      <c r="L97" s="402" t="s">
        <v>1111</v>
      </c>
      <c r="M97" s="403" t="s">
        <v>419</v>
      </c>
      <c r="N97" s="402" t="s">
        <v>1139</v>
      </c>
      <c r="O97" s="401"/>
      <c r="P97" s="405" t="s">
        <v>1351</v>
      </c>
      <c r="Q97" s="405"/>
      <c r="R97" s="407"/>
      <c r="S97" s="405"/>
      <c r="T97" s="405"/>
      <c r="U97" s="407"/>
      <c r="V97" s="408"/>
      <c r="W97" s="405"/>
      <c r="X97" s="406"/>
      <c r="Y97" s="379"/>
      <c r="Z97" s="379"/>
    </row>
    <row r="98" spans="1:26" ht="20.399999999999999">
      <c r="A98" s="400" t="s">
        <v>1288</v>
      </c>
      <c r="B98" s="401" t="s">
        <v>1352</v>
      </c>
      <c r="C98" s="402" t="s">
        <v>1353</v>
      </c>
      <c r="D98" s="403" t="s">
        <v>404</v>
      </c>
      <c r="E98" s="402" t="s">
        <v>404</v>
      </c>
      <c r="F98" s="402" t="s">
        <v>404</v>
      </c>
      <c r="G98" s="402" t="s">
        <v>404</v>
      </c>
      <c r="H98" s="402" t="s">
        <v>404</v>
      </c>
      <c r="I98" s="402" t="s">
        <v>404</v>
      </c>
      <c r="J98" s="402" t="s">
        <v>404</v>
      </c>
      <c r="K98" s="402" t="s">
        <v>404</v>
      </c>
      <c r="L98" s="402" t="s">
        <v>404</v>
      </c>
      <c r="M98" s="403" t="s">
        <v>404</v>
      </c>
      <c r="N98" s="402" t="s">
        <v>404</v>
      </c>
      <c r="O98" s="401"/>
      <c r="P98" s="405" t="s">
        <v>1256</v>
      </c>
      <c r="Q98" s="405"/>
      <c r="R98" s="407"/>
      <c r="S98" s="405"/>
      <c r="T98" s="405"/>
      <c r="U98" s="407"/>
      <c r="V98" s="408"/>
      <c r="W98" s="405"/>
      <c r="X98" s="406"/>
      <c r="Y98" s="379"/>
      <c r="Z98" s="379"/>
    </row>
    <row r="99" spans="1:26" ht="42.75" customHeight="1">
      <c r="A99" s="400" t="s">
        <v>1288</v>
      </c>
      <c r="B99" s="401" t="s">
        <v>1354</v>
      </c>
      <c r="C99" s="402" t="s">
        <v>1355</v>
      </c>
      <c r="D99" s="403" t="s">
        <v>404</v>
      </c>
      <c r="E99" s="402">
        <v>50</v>
      </c>
      <c r="F99" s="402" t="s">
        <v>404</v>
      </c>
      <c r="G99" s="402" t="s">
        <v>404</v>
      </c>
      <c r="H99" s="402" t="s">
        <v>404</v>
      </c>
      <c r="I99" s="402" t="s">
        <v>404</v>
      </c>
      <c r="J99" s="402" t="s">
        <v>404</v>
      </c>
      <c r="K99" s="402">
        <v>35</v>
      </c>
      <c r="L99" s="402" t="s">
        <v>1138</v>
      </c>
      <c r="M99" s="403" t="s">
        <v>419</v>
      </c>
      <c r="N99" s="402" t="s">
        <v>1112</v>
      </c>
      <c r="O99" s="401"/>
      <c r="P99" s="405" t="s">
        <v>1356</v>
      </c>
      <c r="Q99" s="405"/>
      <c r="R99" s="407"/>
      <c r="S99" s="405"/>
      <c r="T99" s="405"/>
      <c r="U99" s="407"/>
      <c r="V99" s="408"/>
      <c r="W99" s="405"/>
      <c r="X99" s="406"/>
      <c r="Y99" s="379"/>
      <c r="Z99" s="379"/>
    </row>
    <row r="100" spans="1:26" ht="122.4">
      <c r="A100" s="400" t="s">
        <v>1288</v>
      </c>
      <c r="B100" s="401"/>
      <c r="C100" s="402" t="s">
        <v>1357</v>
      </c>
      <c r="D100" s="403">
        <v>75</v>
      </c>
      <c r="E100" s="402">
        <v>70</v>
      </c>
      <c r="F100" s="402">
        <v>60</v>
      </c>
      <c r="G100" s="402">
        <v>30</v>
      </c>
      <c r="H100" s="402">
        <v>4</v>
      </c>
      <c r="I100" s="402">
        <v>2</v>
      </c>
      <c r="J100" s="402" t="s">
        <v>1137</v>
      </c>
      <c r="K100" s="402">
        <v>40</v>
      </c>
      <c r="L100" s="402" t="s">
        <v>1343</v>
      </c>
      <c r="M100" s="403" t="s">
        <v>419</v>
      </c>
      <c r="N100" s="402" t="s">
        <v>1139</v>
      </c>
      <c r="O100" s="401"/>
      <c r="P100" s="405" t="s">
        <v>1358</v>
      </c>
      <c r="Q100" s="405" t="s">
        <v>1359</v>
      </c>
      <c r="R100" s="407"/>
      <c r="S100" s="405"/>
      <c r="T100" s="405"/>
      <c r="U100" s="407"/>
      <c r="V100" s="408"/>
      <c r="W100" s="405"/>
      <c r="X100" s="406"/>
      <c r="Y100" s="379"/>
      <c r="Z100" s="379"/>
    </row>
    <row r="101" spans="1:26" ht="142.80000000000001">
      <c r="A101" s="400" t="s">
        <v>1360</v>
      </c>
      <c r="B101" s="401" t="s">
        <v>1361</v>
      </c>
      <c r="C101" s="402" t="s">
        <v>1362</v>
      </c>
      <c r="D101" s="403" t="s">
        <v>404</v>
      </c>
      <c r="E101" s="402">
        <v>50</v>
      </c>
      <c r="F101" s="402" t="s">
        <v>404</v>
      </c>
      <c r="G101" s="402" t="s">
        <v>404</v>
      </c>
      <c r="H101" s="402" t="s">
        <v>404</v>
      </c>
      <c r="I101" s="402" t="s">
        <v>404</v>
      </c>
      <c r="J101" s="402" t="s">
        <v>404</v>
      </c>
      <c r="K101" s="402">
        <v>40</v>
      </c>
      <c r="L101" s="402" t="s">
        <v>1343</v>
      </c>
      <c r="M101" s="403" t="s">
        <v>419</v>
      </c>
      <c r="N101" s="402" t="s">
        <v>1112</v>
      </c>
      <c r="O101" s="401"/>
      <c r="P101" s="405" t="s">
        <v>1363</v>
      </c>
      <c r="Q101" s="405" t="s">
        <v>1364</v>
      </c>
      <c r="R101" s="407" t="s">
        <v>1365</v>
      </c>
      <c r="S101" s="405"/>
      <c r="T101" s="405"/>
      <c r="U101" s="407"/>
      <c r="V101" s="408"/>
      <c r="W101" s="405"/>
      <c r="X101" s="406"/>
      <c r="Y101" s="379"/>
      <c r="Z101" s="379"/>
    </row>
    <row r="102" spans="1:26">
      <c r="A102" s="400" t="s">
        <v>1360</v>
      </c>
      <c r="B102" s="401" t="s">
        <v>1366</v>
      </c>
      <c r="C102" s="402" t="s">
        <v>1367</v>
      </c>
      <c r="D102" s="403">
        <v>75</v>
      </c>
      <c r="E102" s="402">
        <v>70</v>
      </c>
      <c r="F102" s="402">
        <v>60</v>
      </c>
      <c r="G102" s="402">
        <v>30</v>
      </c>
      <c r="H102" s="402">
        <v>4</v>
      </c>
      <c r="I102" s="402">
        <v>2</v>
      </c>
      <c r="J102" s="402" t="s">
        <v>1137</v>
      </c>
      <c r="K102" s="402">
        <v>40</v>
      </c>
      <c r="L102" s="402" t="s">
        <v>1111</v>
      </c>
      <c r="M102" s="403" t="s">
        <v>419</v>
      </c>
      <c r="N102" s="402" t="s">
        <v>1139</v>
      </c>
      <c r="O102" s="401"/>
      <c r="P102" s="405"/>
      <c r="Q102" s="405"/>
      <c r="R102" s="407"/>
      <c r="S102" s="405"/>
      <c r="T102" s="405"/>
      <c r="U102" s="407"/>
      <c r="V102" s="408"/>
      <c r="W102" s="405"/>
      <c r="X102" s="406"/>
      <c r="Y102" s="379"/>
      <c r="Z102" s="379"/>
    </row>
    <row r="103" spans="1:26" ht="61.2">
      <c r="A103" s="400" t="s">
        <v>1360</v>
      </c>
      <c r="B103" s="401" t="s">
        <v>1368</v>
      </c>
      <c r="C103" s="402" t="s">
        <v>1369</v>
      </c>
      <c r="D103" s="403">
        <v>75</v>
      </c>
      <c r="E103" s="402">
        <v>70</v>
      </c>
      <c r="F103" s="402">
        <v>60</v>
      </c>
      <c r="G103" s="402">
        <v>30</v>
      </c>
      <c r="H103" s="402">
        <v>4</v>
      </c>
      <c r="I103" s="402">
        <v>2</v>
      </c>
      <c r="J103" s="402" t="s">
        <v>1137</v>
      </c>
      <c r="K103" s="402">
        <v>40</v>
      </c>
      <c r="L103" s="402" t="s">
        <v>1111</v>
      </c>
      <c r="M103" s="403" t="s">
        <v>419</v>
      </c>
      <c r="N103" s="402" t="s">
        <v>1139</v>
      </c>
      <c r="O103" s="401"/>
      <c r="P103" s="405" t="s">
        <v>1302</v>
      </c>
      <c r="Q103" s="405"/>
      <c r="R103" s="407"/>
      <c r="S103" s="405"/>
      <c r="T103" s="405"/>
      <c r="U103" s="407"/>
      <c r="V103" s="408"/>
      <c r="W103" s="405"/>
      <c r="X103" s="406"/>
      <c r="Y103" s="379"/>
      <c r="Z103" s="379"/>
    </row>
    <row r="104" spans="1:26" ht="81.599999999999994">
      <c r="A104" s="400" t="s">
        <v>1360</v>
      </c>
      <c r="B104" s="401" t="s">
        <v>1370</v>
      </c>
      <c r="C104" s="402" t="s">
        <v>1371</v>
      </c>
      <c r="D104" s="403">
        <v>75</v>
      </c>
      <c r="E104" s="402">
        <v>70</v>
      </c>
      <c r="F104" s="402">
        <v>60</v>
      </c>
      <c r="G104" s="402">
        <v>30</v>
      </c>
      <c r="H104" s="402">
        <v>6</v>
      </c>
      <c r="I104" s="402">
        <v>2</v>
      </c>
      <c r="J104" s="402" t="s">
        <v>1137</v>
      </c>
      <c r="K104" s="402">
        <v>40</v>
      </c>
      <c r="L104" s="402" t="s">
        <v>1227</v>
      </c>
      <c r="M104" s="403" t="s">
        <v>419</v>
      </c>
      <c r="N104" s="402" t="s">
        <v>1139</v>
      </c>
      <c r="O104" s="401"/>
      <c r="P104" s="405" t="s">
        <v>1372</v>
      </c>
      <c r="Q104" s="405"/>
      <c r="R104" s="407"/>
      <c r="S104" s="405"/>
      <c r="T104" s="405"/>
      <c r="U104" s="407"/>
      <c r="V104" s="408"/>
      <c r="W104" s="405"/>
      <c r="X104" s="406"/>
      <c r="Y104" s="379"/>
      <c r="Z104" s="379"/>
    </row>
    <row r="105" spans="1:26" ht="142.80000000000001">
      <c r="A105" s="400" t="s">
        <v>1360</v>
      </c>
      <c r="B105" s="401" t="s">
        <v>1373</v>
      </c>
      <c r="C105" s="402" t="s">
        <v>1374</v>
      </c>
      <c r="D105" s="403">
        <v>75</v>
      </c>
      <c r="E105" s="402">
        <v>70</v>
      </c>
      <c r="F105" s="402">
        <v>60</v>
      </c>
      <c r="G105" s="402">
        <v>30</v>
      </c>
      <c r="H105" s="402">
        <v>4</v>
      </c>
      <c r="I105" s="402">
        <v>2</v>
      </c>
      <c r="J105" s="402" t="s">
        <v>1137</v>
      </c>
      <c r="K105" s="402">
        <v>40</v>
      </c>
      <c r="L105" s="402" t="s">
        <v>1227</v>
      </c>
      <c r="M105" s="403" t="s">
        <v>419</v>
      </c>
      <c r="N105" s="402" t="s">
        <v>1139</v>
      </c>
      <c r="O105" s="401"/>
      <c r="P105" s="405" t="s">
        <v>1375</v>
      </c>
      <c r="Q105" s="405" t="s">
        <v>1376</v>
      </c>
      <c r="R105" s="407"/>
      <c r="S105" s="405"/>
      <c r="T105" s="405"/>
      <c r="U105" s="407"/>
      <c r="V105" s="408"/>
      <c r="W105" s="405"/>
      <c r="X105" s="406"/>
      <c r="Y105" s="379"/>
      <c r="Z105" s="379"/>
    </row>
    <row r="106" spans="1:26" ht="51">
      <c r="A106" s="400" t="s">
        <v>1360</v>
      </c>
      <c r="B106" s="401" t="s">
        <v>1377</v>
      </c>
      <c r="C106" s="402" t="s">
        <v>1378</v>
      </c>
      <c r="D106" s="403" t="s">
        <v>404</v>
      </c>
      <c r="E106" s="402">
        <v>50</v>
      </c>
      <c r="F106" s="402" t="s">
        <v>404</v>
      </c>
      <c r="G106" s="402" t="s">
        <v>404</v>
      </c>
      <c r="H106" s="402" t="s">
        <v>404</v>
      </c>
      <c r="I106" s="402" t="s">
        <v>404</v>
      </c>
      <c r="J106" s="402" t="s">
        <v>404</v>
      </c>
      <c r="K106" s="402">
        <v>40</v>
      </c>
      <c r="L106" s="402" t="s">
        <v>1227</v>
      </c>
      <c r="M106" s="403" t="s">
        <v>419</v>
      </c>
      <c r="N106" s="402" t="s">
        <v>404</v>
      </c>
      <c r="O106" s="401"/>
      <c r="P106" s="405" t="s">
        <v>1379</v>
      </c>
      <c r="Q106" s="405"/>
      <c r="R106" s="407"/>
      <c r="S106" s="405"/>
      <c r="T106" s="405"/>
      <c r="U106" s="407"/>
      <c r="V106" s="408"/>
      <c r="W106" s="405"/>
      <c r="X106" s="406"/>
      <c r="Y106" s="379"/>
      <c r="Z106" s="379"/>
    </row>
    <row r="107" spans="1:26" ht="30.6">
      <c r="A107" s="400" t="s">
        <v>1360</v>
      </c>
      <c r="B107" s="401" t="s">
        <v>1380</v>
      </c>
      <c r="C107" s="402" t="s">
        <v>1381</v>
      </c>
      <c r="D107" s="403">
        <v>75</v>
      </c>
      <c r="E107" s="402">
        <v>70</v>
      </c>
      <c r="F107" s="402">
        <v>60</v>
      </c>
      <c r="G107" s="402">
        <v>30</v>
      </c>
      <c r="H107" s="402">
        <v>6</v>
      </c>
      <c r="I107" s="402">
        <v>2</v>
      </c>
      <c r="J107" s="402" t="s">
        <v>1137</v>
      </c>
      <c r="K107" s="402">
        <v>40</v>
      </c>
      <c r="L107" s="402" t="s">
        <v>1227</v>
      </c>
      <c r="M107" s="403" t="s">
        <v>419</v>
      </c>
      <c r="N107" s="402" t="s">
        <v>1139</v>
      </c>
      <c r="O107" s="401"/>
      <c r="P107" s="405" t="s">
        <v>1382</v>
      </c>
      <c r="Q107" s="405"/>
      <c r="R107" s="407"/>
      <c r="S107" s="405"/>
      <c r="T107" s="405"/>
      <c r="U107" s="407"/>
      <c r="V107" s="408"/>
      <c r="W107" s="405"/>
      <c r="X107" s="406"/>
      <c r="Y107" s="379"/>
      <c r="Z107" s="379"/>
    </row>
    <row r="108" spans="1:26" ht="71.400000000000006">
      <c r="A108" s="400" t="s">
        <v>1360</v>
      </c>
      <c r="B108" s="401" t="s">
        <v>1349</v>
      </c>
      <c r="C108" s="402" t="s">
        <v>1350</v>
      </c>
      <c r="D108" s="403">
        <v>75</v>
      </c>
      <c r="E108" s="402">
        <v>70</v>
      </c>
      <c r="F108" s="402">
        <v>60</v>
      </c>
      <c r="G108" s="402">
        <v>30</v>
      </c>
      <c r="H108" s="402">
        <v>4</v>
      </c>
      <c r="I108" s="402">
        <v>2</v>
      </c>
      <c r="J108" s="402" t="s">
        <v>1137</v>
      </c>
      <c r="K108" s="402">
        <v>40</v>
      </c>
      <c r="L108" s="402" t="s">
        <v>1111</v>
      </c>
      <c r="M108" s="403" t="s">
        <v>419</v>
      </c>
      <c r="N108" s="402" t="s">
        <v>1139</v>
      </c>
      <c r="O108" s="401"/>
      <c r="P108" s="405" t="s">
        <v>1383</v>
      </c>
      <c r="Q108" s="405" t="s">
        <v>1384</v>
      </c>
      <c r="R108" s="407"/>
      <c r="S108" s="405"/>
      <c r="T108" s="405"/>
      <c r="U108" s="407"/>
      <c r="V108" s="408"/>
      <c r="W108" s="405"/>
      <c r="X108" s="406"/>
      <c r="Y108" s="379"/>
      <c r="Z108" s="379"/>
    </row>
    <row r="109" spans="1:26" ht="81.599999999999994">
      <c r="A109" s="400" t="s">
        <v>1360</v>
      </c>
      <c r="B109" s="401" t="s">
        <v>1385</v>
      </c>
      <c r="C109" s="402" t="s">
        <v>1386</v>
      </c>
      <c r="D109" s="403">
        <v>75</v>
      </c>
      <c r="E109" s="402">
        <v>70</v>
      </c>
      <c r="F109" s="402">
        <v>60</v>
      </c>
      <c r="G109" s="402">
        <v>30</v>
      </c>
      <c r="H109" s="402">
        <v>4</v>
      </c>
      <c r="I109" s="402">
        <v>2</v>
      </c>
      <c r="J109" s="402" t="s">
        <v>1137</v>
      </c>
      <c r="K109" s="402">
        <v>40</v>
      </c>
      <c r="L109" s="402" t="s">
        <v>1227</v>
      </c>
      <c r="M109" s="403" t="s">
        <v>419</v>
      </c>
      <c r="N109" s="402" t="s">
        <v>1139</v>
      </c>
      <c r="O109" s="401"/>
      <c r="P109" s="405" t="s">
        <v>1372</v>
      </c>
      <c r="Q109" s="405"/>
      <c r="R109" s="407"/>
      <c r="S109" s="405"/>
      <c r="T109" s="405"/>
      <c r="U109" s="407"/>
      <c r="V109" s="408"/>
      <c r="W109" s="405"/>
      <c r="X109" s="406"/>
      <c r="Y109" s="379"/>
      <c r="Z109" s="379"/>
    </row>
    <row r="110" spans="1:26" ht="81.599999999999994">
      <c r="A110" s="400" t="s">
        <v>1360</v>
      </c>
      <c r="B110" s="401" t="s">
        <v>1331</v>
      </c>
      <c r="C110" s="402" t="s">
        <v>1347</v>
      </c>
      <c r="D110" s="403" t="s">
        <v>404</v>
      </c>
      <c r="E110" s="402">
        <v>70</v>
      </c>
      <c r="F110" s="402" t="s">
        <v>404</v>
      </c>
      <c r="G110" s="402" t="s">
        <v>404</v>
      </c>
      <c r="H110" s="402">
        <v>10</v>
      </c>
      <c r="I110" s="402" t="s">
        <v>404</v>
      </c>
      <c r="J110" s="402" t="s">
        <v>1123</v>
      </c>
      <c r="K110" s="402">
        <v>40</v>
      </c>
      <c r="L110" s="402" t="s">
        <v>1315</v>
      </c>
      <c r="M110" s="403" t="s">
        <v>419</v>
      </c>
      <c r="N110" s="402" t="s">
        <v>1112</v>
      </c>
      <c r="O110" s="401"/>
      <c r="P110" s="405" t="s">
        <v>1348</v>
      </c>
      <c r="Q110" s="405" t="s">
        <v>1326</v>
      </c>
      <c r="R110" s="407"/>
      <c r="S110" s="405"/>
      <c r="T110" s="405"/>
      <c r="U110" s="407"/>
      <c r="V110" s="408"/>
      <c r="W110" s="405"/>
      <c r="X110" s="406"/>
      <c r="Y110" s="379"/>
      <c r="Z110" s="379"/>
    </row>
    <row r="111" spans="1:26" ht="40.799999999999997">
      <c r="A111" s="400" t="s">
        <v>1360</v>
      </c>
      <c r="B111" s="401" t="s">
        <v>1387</v>
      </c>
      <c r="C111" s="402" t="s">
        <v>1388</v>
      </c>
      <c r="D111" s="403">
        <v>75</v>
      </c>
      <c r="E111" s="402">
        <v>70</v>
      </c>
      <c r="F111" s="402">
        <v>60</v>
      </c>
      <c r="G111" s="402">
        <v>30</v>
      </c>
      <c r="H111" s="402">
        <v>4</v>
      </c>
      <c r="I111" s="402">
        <v>2</v>
      </c>
      <c r="J111" s="402" t="s">
        <v>1137</v>
      </c>
      <c r="K111" s="402">
        <v>40</v>
      </c>
      <c r="L111" s="402" t="s">
        <v>1227</v>
      </c>
      <c r="M111" s="403" t="s">
        <v>419</v>
      </c>
      <c r="N111" s="402" t="s">
        <v>1139</v>
      </c>
      <c r="O111" s="401"/>
      <c r="P111" s="405" t="s">
        <v>1389</v>
      </c>
      <c r="Q111" s="405"/>
      <c r="R111" s="407"/>
      <c r="S111" s="405"/>
      <c r="T111" s="405"/>
      <c r="U111" s="407"/>
      <c r="V111" s="408"/>
      <c r="W111" s="405"/>
      <c r="X111" s="406"/>
      <c r="Y111" s="379"/>
      <c r="Z111" s="379"/>
    </row>
    <row r="112" spans="1:26" ht="81.599999999999994">
      <c r="A112" s="400" t="s">
        <v>1360</v>
      </c>
      <c r="B112" s="401" t="s">
        <v>1390</v>
      </c>
      <c r="C112" s="402" t="s">
        <v>1391</v>
      </c>
      <c r="D112" s="403">
        <v>75</v>
      </c>
      <c r="E112" s="402">
        <v>70</v>
      </c>
      <c r="F112" s="402">
        <v>60</v>
      </c>
      <c r="G112" s="402" t="s">
        <v>404</v>
      </c>
      <c r="H112" s="402">
        <v>6</v>
      </c>
      <c r="I112" s="402">
        <v>2</v>
      </c>
      <c r="J112" s="402" t="s">
        <v>1137</v>
      </c>
      <c r="K112" s="402">
        <v>40</v>
      </c>
      <c r="L112" s="402" t="s">
        <v>1227</v>
      </c>
      <c r="M112" s="403" t="s">
        <v>419</v>
      </c>
      <c r="N112" s="402" t="s">
        <v>1139</v>
      </c>
      <c r="O112" s="401"/>
      <c r="P112" s="405" t="s">
        <v>1392</v>
      </c>
      <c r="Q112" s="405" t="s">
        <v>1393</v>
      </c>
      <c r="R112" s="407"/>
      <c r="S112" s="405"/>
      <c r="T112" s="405"/>
      <c r="U112" s="407"/>
      <c r="V112" s="408"/>
      <c r="W112" s="405"/>
      <c r="X112" s="406"/>
      <c r="Y112" s="379"/>
      <c r="Z112" s="379"/>
    </row>
    <row r="113" spans="1:26">
      <c r="A113" s="400" t="s">
        <v>1360</v>
      </c>
      <c r="B113" s="401" t="s">
        <v>1394</v>
      </c>
      <c r="C113" s="402" t="s">
        <v>1395</v>
      </c>
      <c r="D113" s="403">
        <v>75</v>
      </c>
      <c r="E113" s="402">
        <v>70</v>
      </c>
      <c r="F113" s="402">
        <v>60</v>
      </c>
      <c r="G113" s="402">
        <v>30</v>
      </c>
      <c r="H113" s="402">
        <v>6</v>
      </c>
      <c r="I113" s="402">
        <v>2</v>
      </c>
      <c r="J113" s="402" t="s">
        <v>1123</v>
      </c>
      <c r="K113" s="402">
        <v>40</v>
      </c>
      <c r="L113" s="402" t="s">
        <v>1111</v>
      </c>
      <c r="M113" s="403" t="s">
        <v>419</v>
      </c>
      <c r="N113" s="402" t="s">
        <v>1112</v>
      </c>
      <c r="O113" s="401"/>
      <c r="P113" s="405"/>
      <c r="Q113" s="405"/>
      <c r="R113" s="407"/>
      <c r="S113" s="405"/>
      <c r="T113" s="405"/>
      <c r="U113" s="407"/>
      <c r="V113" s="408"/>
      <c r="W113" s="405"/>
      <c r="X113" s="406"/>
      <c r="Y113" s="379"/>
      <c r="Z113" s="379"/>
    </row>
    <row r="114" spans="1:26" ht="81.599999999999994">
      <c r="A114" s="400" t="s">
        <v>1360</v>
      </c>
      <c r="B114" s="401" t="s">
        <v>1331</v>
      </c>
      <c r="C114" s="402" t="s">
        <v>1396</v>
      </c>
      <c r="D114" s="403" t="s">
        <v>404</v>
      </c>
      <c r="E114" s="402">
        <v>68</v>
      </c>
      <c r="F114" s="402" t="s">
        <v>404</v>
      </c>
      <c r="G114" s="402" t="s">
        <v>404</v>
      </c>
      <c r="H114" s="402">
        <v>10</v>
      </c>
      <c r="I114" s="402" t="s">
        <v>404</v>
      </c>
      <c r="J114" s="402" t="s">
        <v>1123</v>
      </c>
      <c r="K114" s="402">
        <v>40</v>
      </c>
      <c r="L114" s="402" t="s">
        <v>1315</v>
      </c>
      <c r="M114" s="403" t="s">
        <v>419</v>
      </c>
      <c r="N114" s="402" t="s">
        <v>1112</v>
      </c>
      <c r="O114" s="401"/>
      <c r="P114" s="405" t="s">
        <v>1397</v>
      </c>
      <c r="Q114" s="405" t="s">
        <v>1398</v>
      </c>
      <c r="R114" s="407"/>
      <c r="S114" s="405"/>
      <c r="T114" s="405"/>
      <c r="U114" s="407"/>
      <c r="V114" s="408"/>
      <c r="W114" s="405"/>
      <c r="X114" s="406"/>
      <c r="Y114" s="379"/>
      <c r="Z114" s="379"/>
    </row>
    <row r="115" spans="1:26" ht="51">
      <c r="A115" s="400" t="s">
        <v>1360</v>
      </c>
      <c r="B115" s="401" t="s">
        <v>1399</v>
      </c>
      <c r="C115" s="402" t="s">
        <v>1400</v>
      </c>
      <c r="D115" s="403" t="s">
        <v>404</v>
      </c>
      <c r="E115" s="402">
        <v>50</v>
      </c>
      <c r="F115" s="402" t="s">
        <v>404</v>
      </c>
      <c r="G115" s="402" t="s">
        <v>404</v>
      </c>
      <c r="H115" s="402" t="s">
        <v>404</v>
      </c>
      <c r="I115" s="402" t="s">
        <v>404</v>
      </c>
      <c r="J115" s="402" t="s">
        <v>404</v>
      </c>
      <c r="K115" s="402">
        <v>40</v>
      </c>
      <c r="L115" s="402" t="s">
        <v>404</v>
      </c>
      <c r="M115" s="403" t="s">
        <v>419</v>
      </c>
      <c r="N115" s="402" t="s">
        <v>404</v>
      </c>
      <c r="O115" s="401"/>
      <c r="P115" s="405" t="s">
        <v>1401</v>
      </c>
      <c r="Q115" s="405"/>
      <c r="R115" s="407"/>
      <c r="S115" s="405"/>
      <c r="T115" s="405"/>
      <c r="U115" s="407"/>
      <c r="V115" s="408"/>
      <c r="W115" s="405"/>
      <c r="X115" s="406"/>
      <c r="Y115" s="379"/>
      <c r="Z115" s="379"/>
    </row>
    <row r="116" spans="1:26" ht="51">
      <c r="A116" s="400" t="s">
        <v>1360</v>
      </c>
      <c r="B116" s="401" t="s">
        <v>1402</v>
      </c>
      <c r="C116" s="402" t="s">
        <v>1403</v>
      </c>
      <c r="D116" s="403" t="s">
        <v>404</v>
      </c>
      <c r="E116" s="402" t="s">
        <v>404</v>
      </c>
      <c r="F116" s="402" t="s">
        <v>404</v>
      </c>
      <c r="G116" s="402" t="s">
        <v>404</v>
      </c>
      <c r="H116" s="402">
        <v>10</v>
      </c>
      <c r="I116" s="402" t="s">
        <v>404</v>
      </c>
      <c r="J116" s="402" t="s">
        <v>1123</v>
      </c>
      <c r="K116" s="402">
        <v>40</v>
      </c>
      <c r="L116" s="402" t="s">
        <v>1315</v>
      </c>
      <c r="M116" s="403" t="s">
        <v>420</v>
      </c>
      <c r="N116" s="402" t="s">
        <v>1112</v>
      </c>
      <c r="O116" s="401"/>
      <c r="P116" s="405" t="s">
        <v>1404</v>
      </c>
      <c r="Q116" s="405"/>
      <c r="R116" s="407"/>
      <c r="S116" s="405"/>
      <c r="T116" s="405"/>
      <c r="U116" s="407"/>
      <c r="V116" s="408"/>
      <c r="W116" s="405"/>
      <c r="X116" s="406"/>
      <c r="Y116" s="379"/>
      <c r="Z116" s="379"/>
    </row>
    <row r="117" spans="1:26" ht="61.2">
      <c r="A117" s="400" t="s">
        <v>1360</v>
      </c>
      <c r="B117" s="401" t="s">
        <v>1405</v>
      </c>
      <c r="C117" s="402" t="s">
        <v>1406</v>
      </c>
      <c r="D117" s="403">
        <v>68</v>
      </c>
      <c r="E117" s="402">
        <v>68</v>
      </c>
      <c r="F117" s="402" t="s">
        <v>404</v>
      </c>
      <c r="G117" s="402" t="s">
        <v>404</v>
      </c>
      <c r="H117" s="402">
        <v>6</v>
      </c>
      <c r="I117" s="402" t="s">
        <v>404</v>
      </c>
      <c r="J117" s="402" t="s">
        <v>1137</v>
      </c>
      <c r="K117" s="402">
        <v>40</v>
      </c>
      <c r="L117" s="402" t="s">
        <v>1227</v>
      </c>
      <c r="M117" s="403" t="s">
        <v>419</v>
      </c>
      <c r="N117" s="402" t="s">
        <v>1112</v>
      </c>
      <c r="O117" s="401"/>
      <c r="P117" s="405" t="s">
        <v>1407</v>
      </c>
      <c r="Q117" s="405"/>
      <c r="R117" s="407"/>
      <c r="S117" s="405"/>
      <c r="T117" s="405"/>
      <c r="U117" s="407"/>
      <c r="V117" s="408"/>
      <c r="W117" s="405"/>
      <c r="X117" s="406"/>
      <c r="Y117" s="379"/>
      <c r="Z117" s="379"/>
    </row>
    <row r="118" spans="1:26" ht="163.19999999999999">
      <c r="A118" s="400" t="s">
        <v>1360</v>
      </c>
      <c r="B118" s="401" t="s">
        <v>1354</v>
      </c>
      <c r="C118" s="402" t="s">
        <v>1355</v>
      </c>
      <c r="D118" s="403" t="s">
        <v>404</v>
      </c>
      <c r="E118" s="402">
        <v>60</v>
      </c>
      <c r="F118" s="402" t="s">
        <v>404</v>
      </c>
      <c r="G118" s="402" t="s">
        <v>404</v>
      </c>
      <c r="H118" s="402" t="s">
        <v>154</v>
      </c>
      <c r="I118" s="424">
        <v>1</v>
      </c>
      <c r="J118" s="402" t="s">
        <v>1110</v>
      </c>
      <c r="K118" s="402">
        <v>50</v>
      </c>
      <c r="L118" s="402" t="s">
        <v>1111</v>
      </c>
      <c r="M118" s="403" t="s">
        <v>419</v>
      </c>
      <c r="N118" s="402" t="s">
        <v>1112</v>
      </c>
      <c r="O118" s="401"/>
      <c r="P118" s="405" t="s">
        <v>1408</v>
      </c>
      <c r="Q118" s="405" t="s">
        <v>1409</v>
      </c>
      <c r="R118" s="407" t="s">
        <v>1410</v>
      </c>
      <c r="S118" s="405"/>
      <c r="T118" s="405"/>
      <c r="U118" s="407"/>
      <c r="V118" s="408"/>
      <c r="W118" s="405"/>
      <c r="X118" s="406"/>
      <c r="Y118" s="379"/>
      <c r="Z118" s="379"/>
    </row>
    <row r="119" spans="1:26" ht="81.599999999999994">
      <c r="A119" s="400" t="s">
        <v>1360</v>
      </c>
      <c r="B119" s="401" t="s">
        <v>1411</v>
      </c>
      <c r="C119" s="402" t="s">
        <v>1412</v>
      </c>
      <c r="D119" s="403">
        <v>75</v>
      </c>
      <c r="E119" s="402">
        <v>70</v>
      </c>
      <c r="F119" s="402">
        <v>60</v>
      </c>
      <c r="G119" s="402">
        <v>30</v>
      </c>
      <c r="H119" s="402">
        <v>4</v>
      </c>
      <c r="I119" s="402">
        <v>2</v>
      </c>
      <c r="J119" s="402" t="s">
        <v>1137</v>
      </c>
      <c r="K119" s="402">
        <v>35</v>
      </c>
      <c r="L119" s="402" t="s">
        <v>1227</v>
      </c>
      <c r="M119" s="403" t="s">
        <v>419</v>
      </c>
      <c r="N119" s="402" t="s">
        <v>1139</v>
      </c>
      <c r="O119" s="401"/>
      <c r="P119" s="405" t="s">
        <v>1413</v>
      </c>
      <c r="Q119" s="405"/>
      <c r="R119" s="407"/>
      <c r="S119" s="405"/>
      <c r="T119" s="405"/>
      <c r="U119" s="407"/>
      <c r="V119" s="408"/>
      <c r="W119" s="405"/>
      <c r="X119" s="406"/>
      <c r="Y119" s="379"/>
      <c r="Z119" s="379"/>
    </row>
    <row r="120" spans="1:26" ht="44.25" customHeight="1">
      <c r="A120" s="400" t="s">
        <v>1360</v>
      </c>
      <c r="B120" s="401" t="s">
        <v>1414</v>
      </c>
      <c r="C120" s="402" t="s">
        <v>1415</v>
      </c>
      <c r="D120" s="403">
        <v>75</v>
      </c>
      <c r="E120" s="402">
        <v>70</v>
      </c>
      <c r="F120" s="402">
        <v>60</v>
      </c>
      <c r="G120" s="402">
        <v>30</v>
      </c>
      <c r="H120" s="402">
        <v>4</v>
      </c>
      <c r="I120" s="402">
        <v>2</v>
      </c>
      <c r="J120" s="402" t="s">
        <v>1137</v>
      </c>
      <c r="K120" s="402">
        <v>35</v>
      </c>
      <c r="L120" s="402" t="s">
        <v>1227</v>
      </c>
      <c r="M120" s="403" t="s">
        <v>419</v>
      </c>
      <c r="N120" s="402" t="s">
        <v>1139</v>
      </c>
      <c r="O120" s="401"/>
      <c r="P120" s="405" t="s">
        <v>1389</v>
      </c>
      <c r="Q120" s="405"/>
      <c r="R120" s="407"/>
      <c r="S120" s="405"/>
      <c r="T120" s="405"/>
      <c r="U120" s="407"/>
      <c r="V120" s="408"/>
      <c r="W120" s="405"/>
      <c r="X120" s="406"/>
      <c r="Y120" s="379"/>
      <c r="Z120" s="379"/>
    </row>
    <row r="121" spans="1:26" ht="39.75" customHeight="1">
      <c r="A121" s="400" t="s">
        <v>1360</v>
      </c>
      <c r="B121" s="401" t="s">
        <v>1416</v>
      </c>
      <c r="C121" s="402" t="s">
        <v>1417</v>
      </c>
      <c r="D121" s="403">
        <v>75</v>
      </c>
      <c r="E121" s="402">
        <v>70</v>
      </c>
      <c r="F121" s="402">
        <v>60</v>
      </c>
      <c r="G121" s="402">
        <v>30</v>
      </c>
      <c r="H121" s="402">
        <v>4</v>
      </c>
      <c r="I121" s="402">
        <v>2</v>
      </c>
      <c r="J121" s="402" t="s">
        <v>1137</v>
      </c>
      <c r="K121" s="402">
        <v>35</v>
      </c>
      <c r="L121" s="402" t="s">
        <v>1227</v>
      </c>
      <c r="M121" s="403" t="s">
        <v>419</v>
      </c>
      <c r="N121" s="402" t="s">
        <v>1139</v>
      </c>
      <c r="O121" s="401"/>
      <c r="P121" s="405" t="s">
        <v>1389</v>
      </c>
      <c r="Q121" s="405"/>
      <c r="R121" s="407"/>
      <c r="S121" s="405"/>
      <c r="T121" s="405"/>
      <c r="U121" s="407"/>
      <c r="V121" s="408"/>
      <c r="W121" s="405"/>
      <c r="X121" s="406"/>
      <c r="Y121" s="379"/>
      <c r="Z121" s="379"/>
    </row>
    <row r="122" spans="1:26">
      <c r="A122" s="400" t="s">
        <v>1360</v>
      </c>
      <c r="B122" s="401" t="s">
        <v>1418</v>
      </c>
      <c r="C122" s="402" t="s">
        <v>1419</v>
      </c>
      <c r="D122" s="403">
        <v>75</v>
      </c>
      <c r="E122" s="402">
        <v>70</v>
      </c>
      <c r="F122" s="402">
        <v>60</v>
      </c>
      <c r="G122" s="402">
        <v>30</v>
      </c>
      <c r="H122" s="402">
        <v>4</v>
      </c>
      <c r="I122" s="402">
        <v>2</v>
      </c>
      <c r="J122" s="402" t="s">
        <v>1137</v>
      </c>
      <c r="K122" s="402">
        <v>35</v>
      </c>
      <c r="L122" s="402" t="s">
        <v>1227</v>
      </c>
      <c r="M122" s="403" t="s">
        <v>419</v>
      </c>
      <c r="N122" s="402" t="s">
        <v>1139</v>
      </c>
      <c r="O122" s="401"/>
      <c r="P122" s="405"/>
      <c r="Q122" s="405"/>
      <c r="R122" s="407"/>
      <c r="S122" s="405"/>
      <c r="T122" s="405"/>
      <c r="U122" s="407"/>
      <c r="V122" s="408"/>
      <c r="W122" s="405"/>
      <c r="X122" s="406"/>
      <c r="Y122" s="379"/>
      <c r="Z122" s="379"/>
    </row>
    <row r="123" spans="1:26" ht="40.799999999999997">
      <c r="A123" s="400" t="s">
        <v>1360</v>
      </c>
      <c r="B123" s="401" t="s">
        <v>1420</v>
      </c>
      <c r="C123" s="402" t="s">
        <v>1421</v>
      </c>
      <c r="D123" s="403">
        <v>75</v>
      </c>
      <c r="E123" s="402">
        <v>70</v>
      </c>
      <c r="F123" s="402">
        <v>60</v>
      </c>
      <c r="G123" s="402" t="s">
        <v>404</v>
      </c>
      <c r="H123" s="402">
        <v>4</v>
      </c>
      <c r="I123" s="402">
        <v>2</v>
      </c>
      <c r="J123" s="402" t="s">
        <v>1137</v>
      </c>
      <c r="K123" s="402">
        <v>35</v>
      </c>
      <c r="L123" s="402" t="s">
        <v>1227</v>
      </c>
      <c r="M123" s="403" t="s">
        <v>419</v>
      </c>
      <c r="N123" s="402" t="s">
        <v>1139</v>
      </c>
      <c r="O123" s="401"/>
      <c r="P123" s="405" t="s">
        <v>1389</v>
      </c>
      <c r="Q123" s="405"/>
      <c r="R123" s="407"/>
      <c r="S123" s="405"/>
      <c r="T123" s="405"/>
      <c r="U123" s="407"/>
      <c r="V123" s="408"/>
      <c r="W123" s="405"/>
      <c r="X123" s="406"/>
      <c r="Y123" s="379"/>
      <c r="Z123" s="379"/>
    </row>
    <row r="124" spans="1:26" ht="71.400000000000006">
      <c r="A124" s="400" t="s">
        <v>1360</v>
      </c>
      <c r="B124" s="401" t="s">
        <v>1422</v>
      </c>
      <c r="C124" s="402" t="s">
        <v>1423</v>
      </c>
      <c r="D124" s="403">
        <v>75</v>
      </c>
      <c r="E124" s="402">
        <v>70</v>
      </c>
      <c r="F124" s="402">
        <v>60</v>
      </c>
      <c r="G124" s="402">
        <v>30</v>
      </c>
      <c r="H124" s="402">
        <v>4</v>
      </c>
      <c r="I124" s="402">
        <v>2</v>
      </c>
      <c r="J124" s="402" t="s">
        <v>1137</v>
      </c>
      <c r="K124" s="402">
        <v>35</v>
      </c>
      <c r="L124" s="402" t="s">
        <v>1145</v>
      </c>
      <c r="M124" s="403" t="s">
        <v>419</v>
      </c>
      <c r="N124" s="402" t="s">
        <v>1139</v>
      </c>
      <c r="O124" s="401"/>
      <c r="P124" s="405" t="s">
        <v>1424</v>
      </c>
      <c r="Q124" s="405"/>
      <c r="R124" s="407"/>
      <c r="S124" s="405"/>
      <c r="T124" s="405"/>
      <c r="U124" s="407"/>
      <c r="V124" s="408"/>
      <c r="W124" s="405"/>
      <c r="X124" s="406"/>
      <c r="Y124" s="379"/>
      <c r="Z124" s="379"/>
    </row>
    <row r="125" spans="1:26" ht="122.4">
      <c r="A125" s="400" t="s">
        <v>1425</v>
      </c>
      <c r="B125" s="401"/>
      <c r="C125" s="402"/>
      <c r="D125" s="403"/>
      <c r="E125" s="402"/>
      <c r="F125" s="402"/>
      <c r="G125" s="402"/>
      <c r="H125" s="402"/>
      <c r="I125" s="402"/>
      <c r="J125" s="402"/>
      <c r="K125" s="402"/>
      <c r="L125" s="402"/>
      <c r="M125" s="403"/>
      <c r="N125" s="402"/>
      <c r="O125" s="401"/>
      <c r="P125" s="406" t="s">
        <v>1426</v>
      </c>
      <c r="Q125" s="405"/>
      <c r="R125" s="407"/>
      <c r="S125" s="405"/>
      <c r="T125" s="405"/>
      <c r="U125" s="407"/>
      <c r="V125" s="408"/>
      <c r="W125" s="405"/>
      <c r="X125" s="406"/>
      <c r="Y125" s="379"/>
      <c r="Z125" s="379"/>
    </row>
    <row r="126" spans="1:26" ht="142.80000000000001">
      <c r="A126" s="400" t="s">
        <v>1425</v>
      </c>
      <c r="B126" s="401" t="s">
        <v>1289</v>
      </c>
      <c r="C126" s="402" t="s">
        <v>1427</v>
      </c>
      <c r="D126" s="403" t="s">
        <v>404</v>
      </c>
      <c r="E126" s="402" t="s">
        <v>404</v>
      </c>
      <c r="F126" s="402" t="s">
        <v>404</v>
      </c>
      <c r="G126" s="402" t="s">
        <v>404</v>
      </c>
      <c r="H126" s="402">
        <v>10</v>
      </c>
      <c r="I126" s="402">
        <v>2</v>
      </c>
      <c r="J126" s="402" t="s">
        <v>1428</v>
      </c>
      <c r="K126" s="402">
        <v>45</v>
      </c>
      <c r="L126" s="402" t="s">
        <v>1145</v>
      </c>
      <c r="M126" s="403" t="s">
        <v>420</v>
      </c>
      <c r="N126" s="402" t="s">
        <v>1112</v>
      </c>
      <c r="O126" s="401"/>
      <c r="P126" s="405" t="s">
        <v>1429</v>
      </c>
      <c r="Q126" s="405"/>
      <c r="R126" s="407"/>
      <c r="S126" s="405"/>
      <c r="T126" s="405"/>
      <c r="U126" s="407"/>
      <c r="V126" s="408"/>
      <c r="W126" s="405"/>
      <c r="X126" s="406"/>
      <c r="Y126" s="379"/>
      <c r="Z126" s="379"/>
    </row>
    <row r="127" spans="1:26" ht="173.4">
      <c r="A127" s="400" t="s">
        <v>1425</v>
      </c>
      <c r="B127" s="401" t="s">
        <v>1289</v>
      </c>
      <c r="C127" s="402" t="s">
        <v>1430</v>
      </c>
      <c r="D127" s="403">
        <v>78</v>
      </c>
      <c r="E127" s="402">
        <v>70</v>
      </c>
      <c r="F127" s="402">
        <v>60</v>
      </c>
      <c r="G127" s="402">
        <v>30</v>
      </c>
      <c r="H127" s="402">
        <v>6</v>
      </c>
      <c r="I127" s="402" t="s">
        <v>2681</v>
      </c>
      <c r="J127" s="402" t="s">
        <v>2682</v>
      </c>
      <c r="K127" s="402">
        <v>45</v>
      </c>
      <c r="L127" s="402" t="s">
        <v>1124</v>
      </c>
      <c r="M127" s="403" t="s">
        <v>419</v>
      </c>
      <c r="N127" s="402" t="s">
        <v>1112</v>
      </c>
      <c r="O127" s="401"/>
      <c r="P127" s="405" t="s">
        <v>1431</v>
      </c>
      <c r="Q127" s="405"/>
      <c r="R127" s="407"/>
      <c r="S127" s="405"/>
      <c r="T127" s="405"/>
      <c r="U127" s="407"/>
      <c r="V127" s="408"/>
      <c r="W127" s="405"/>
      <c r="X127" s="406"/>
      <c r="Y127" s="379"/>
      <c r="Z127" s="379"/>
    </row>
    <row r="128" spans="1:26" ht="153">
      <c r="A128" s="400" t="s">
        <v>1425</v>
      </c>
      <c r="B128" s="401" t="s">
        <v>1289</v>
      </c>
      <c r="C128" s="402" t="s">
        <v>1432</v>
      </c>
      <c r="D128" s="403">
        <v>78</v>
      </c>
      <c r="E128" s="402">
        <v>70</v>
      </c>
      <c r="F128" s="402">
        <v>60</v>
      </c>
      <c r="G128" s="402">
        <v>30</v>
      </c>
      <c r="H128" s="402">
        <v>4</v>
      </c>
      <c r="I128" s="402">
        <v>2</v>
      </c>
      <c r="J128" s="402" t="s">
        <v>1433</v>
      </c>
      <c r="K128" s="402">
        <v>45</v>
      </c>
      <c r="L128" s="402" t="s">
        <v>1145</v>
      </c>
      <c r="M128" s="403" t="s">
        <v>419</v>
      </c>
      <c r="N128" s="402" t="s">
        <v>1112</v>
      </c>
      <c r="O128" s="401"/>
      <c r="P128" s="405" t="s">
        <v>1434</v>
      </c>
      <c r="Q128" s="405" t="s">
        <v>1435</v>
      </c>
      <c r="R128" s="407" t="s">
        <v>1436</v>
      </c>
      <c r="S128" s="405" t="s">
        <v>1437</v>
      </c>
      <c r="T128" s="405"/>
      <c r="U128" s="407"/>
      <c r="V128" s="408"/>
      <c r="W128" s="405"/>
      <c r="X128" s="406"/>
      <c r="Y128" s="379"/>
      <c r="Z128" s="379"/>
    </row>
    <row r="129" spans="1:26" ht="80.25" customHeight="1">
      <c r="A129" s="400" t="s">
        <v>1425</v>
      </c>
      <c r="B129" s="401" t="s">
        <v>1289</v>
      </c>
      <c r="C129" s="402" t="s">
        <v>1438</v>
      </c>
      <c r="D129" s="403">
        <v>78</v>
      </c>
      <c r="E129" s="402">
        <v>70</v>
      </c>
      <c r="F129" s="402">
        <v>60</v>
      </c>
      <c r="G129" s="402">
        <v>30</v>
      </c>
      <c r="H129" s="402" t="s">
        <v>2683</v>
      </c>
      <c r="I129" s="402">
        <v>2</v>
      </c>
      <c r="J129" s="402" t="s">
        <v>1439</v>
      </c>
      <c r="K129" s="402">
        <v>45</v>
      </c>
      <c r="L129" s="402" t="s">
        <v>1145</v>
      </c>
      <c r="M129" s="403" t="s">
        <v>419</v>
      </c>
      <c r="N129" s="402" t="s">
        <v>1112</v>
      </c>
      <c r="O129" s="401"/>
      <c r="P129" s="405" t="s">
        <v>1440</v>
      </c>
      <c r="Q129" s="405"/>
      <c r="R129" s="407"/>
      <c r="S129" s="405"/>
      <c r="T129" s="405"/>
      <c r="U129" s="407"/>
      <c r="V129" s="408"/>
      <c r="W129" s="405"/>
      <c r="X129" s="406"/>
      <c r="Y129" s="379"/>
      <c r="Z129" s="379"/>
    </row>
    <row r="130" spans="1:26" ht="20.399999999999999">
      <c r="A130" s="400" t="s">
        <v>1425</v>
      </c>
      <c r="B130" s="401" t="s">
        <v>1387</v>
      </c>
      <c r="C130" s="402" t="s">
        <v>1441</v>
      </c>
      <c r="D130" s="403">
        <v>75</v>
      </c>
      <c r="E130" s="402">
        <v>70</v>
      </c>
      <c r="F130" s="402">
        <v>60</v>
      </c>
      <c r="G130" s="402">
        <v>30</v>
      </c>
      <c r="H130" s="402">
        <v>4</v>
      </c>
      <c r="I130" s="402">
        <v>2</v>
      </c>
      <c r="J130" s="402" t="s">
        <v>1137</v>
      </c>
      <c r="K130" s="402">
        <v>40</v>
      </c>
      <c r="L130" s="402">
        <v>0</v>
      </c>
      <c r="M130" s="403" t="s">
        <v>419</v>
      </c>
      <c r="N130" s="402" t="s">
        <v>1139</v>
      </c>
      <c r="O130" s="401"/>
      <c r="P130" s="405" t="s">
        <v>1442</v>
      </c>
      <c r="Q130" s="405"/>
      <c r="R130" s="407"/>
      <c r="S130" s="405"/>
      <c r="T130" s="405"/>
      <c r="U130" s="407"/>
      <c r="V130" s="408"/>
      <c r="W130" s="405"/>
      <c r="X130" s="406"/>
      <c r="Y130" s="379"/>
      <c r="Z130" s="379"/>
    </row>
    <row r="131" spans="1:26" ht="40.799999999999997">
      <c r="A131" s="400" t="s">
        <v>1425</v>
      </c>
      <c r="B131" s="401" t="s">
        <v>1289</v>
      </c>
      <c r="C131" s="402" t="s">
        <v>1443</v>
      </c>
      <c r="D131" s="403">
        <v>75</v>
      </c>
      <c r="E131" s="402">
        <v>70</v>
      </c>
      <c r="F131" s="402">
        <v>60</v>
      </c>
      <c r="G131" s="402">
        <v>30</v>
      </c>
      <c r="H131" s="402">
        <v>4</v>
      </c>
      <c r="I131" s="402">
        <v>2</v>
      </c>
      <c r="J131" s="402" t="s">
        <v>1123</v>
      </c>
      <c r="K131" s="402">
        <v>40</v>
      </c>
      <c r="L131" s="402" t="s">
        <v>1124</v>
      </c>
      <c r="M131" s="403" t="s">
        <v>419</v>
      </c>
      <c r="N131" s="402" t="s">
        <v>1139</v>
      </c>
      <c r="O131" s="401"/>
      <c r="P131" s="405" t="s">
        <v>1444</v>
      </c>
      <c r="Q131" s="405"/>
      <c r="R131" s="407"/>
      <c r="S131" s="405"/>
      <c r="T131" s="405"/>
      <c r="U131" s="407"/>
      <c r="V131" s="408"/>
      <c r="W131" s="405"/>
      <c r="X131" s="406"/>
      <c r="Y131" s="379"/>
      <c r="Z131" s="379"/>
    </row>
    <row r="132" spans="1:26" ht="71.400000000000006">
      <c r="A132" s="400" t="s">
        <v>1445</v>
      </c>
      <c r="B132" s="401" t="s">
        <v>1446</v>
      </c>
      <c r="C132" s="402" t="s">
        <v>1447</v>
      </c>
      <c r="D132" s="403">
        <v>75</v>
      </c>
      <c r="E132" s="402">
        <v>70</v>
      </c>
      <c r="F132" s="402">
        <v>60</v>
      </c>
      <c r="G132" s="402">
        <v>30</v>
      </c>
      <c r="H132" s="402">
        <v>6</v>
      </c>
      <c r="I132" s="402">
        <v>2</v>
      </c>
      <c r="J132" s="402" t="s">
        <v>1137</v>
      </c>
      <c r="K132" s="402">
        <v>35</v>
      </c>
      <c r="L132" s="418" t="s">
        <v>1138</v>
      </c>
      <c r="M132" s="403" t="s">
        <v>419</v>
      </c>
      <c r="N132" s="402" t="s">
        <v>1139</v>
      </c>
      <c r="O132" s="401"/>
      <c r="P132" s="405" t="s">
        <v>1448</v>
      </c>
      <c r="Q132" s="405"/>
      <c r="R132" s="407"/>
      <c r="S132" s="405"/>
      <c r="T132" s="405"/>
      <c r="U132" s="407"/>
      <c r="V132" s="408"/>
      <c r="W132" s="405"/>
      <c r="X132" s="406"/>
      <c r="Y132" s="379"/>
      <c r="Z132" s="379"/>
    </row>
    <row r="133" spans="1:26" ht="71.400000000000006">
      <c r="A133" s="400" t="s">
        <v>1445</v>
      </c>
      <c r="B133" s="401" t="s">
        <v>1449</v>
      </c>
      <c r="C133" s="402" t="s">
        <v>1450</v>
      </c>
      <c r="D133" s="403">
        <v>75</v>
      </c>
      <c r="E133" s="402">
        <v>70</v>
      </c>
      <c r="F133" s="402">
        <v>60</v>
      </c>
      <c r="G133" s="402">
        <v>30</v>
      </c>
      <c r="H133" s="402">
        <v>6</v>
      </c>
      <c r="I133" s="402">
        <v>2</v>
      </c>
      <c r="J133" s="402" t="s">
        <v>1137</v>
      </c>
      <c r="K133" s="402">
        <v>35</v>
      </c>
      <c r="L133" s="418" t="s">
        <v>1138</v>
      </c>
      <c r="M133" s="403" t="s">
        <v>419</v>
      </c>
      <c r="N133" s="402" t="s">
        <v>1139</v>
      </c>
      <c r="O133" s="401"/>
      <c r="P133" s="405" t="s">
        <v>1448</v>
      </c>
      <c r="Q133" s="405"/>
      <c r="R133" s="407"/>
      <c r="S133" s="405"/>
      <c r="T133" s="405"/>
      <c r="U133" s="407"/>
      <c r="V133" s="408"/>
      <c r="W133" s="405"/>
      <c r="X133" s="406"/>
      <c r="Y133" s="379"/>
      <c r="Z133" s="379"/>
    </row>
    <row r="134" spans="1:26" ht="71.400000000000006">
      <c r="A134" s="400" t="s">
        <v>1445</v>
      </c>
      <c r="B134" s="401" t="s">
        <v>1451</v>
      </c>
      <c r="C134" s="402" t="s">
        <v>1452</v>
      </c>
      <c r="D134" s="403">
        <v>75</v>
      </c>
      <c r="E134" s="402">
        <v>70</v>
      </c>
      <c r="F134" s="402">
        <v>60</v>
      </c>
      <c r="G134" s="402">
        <v>30</v>
      </c>
      <c r="H134" s="402">
        <v>6</v>
      </c>
      <c r="I134" s="402">
        <v>2</v>
      </c>
      <c r="J134" s="402" t="s">
        <v>1137</v>
      </c>
      <c r="K134" s="402">
        <v>35</v>
      </c>
      <c r="L134" s="418" t="s">
        <v>1138</v>
      </c>
      <c r="M134" s="403" t="s">
        <v>419</v>
      </c>
      <c r="N134" s="402" t="s">
        <v>1139</v>
      </c>
      <c r="O134" s="401"/>
      <c r="P134" s="405" t="s">
        <v>1448</v>
      </c>
      <c r="Q134" s="405"/>
      <c r="R134" s="407"/>
      <c r="S134" s="405"/>
      <c r="T134" s="405"/>
      <c r="U134" s="407"/>
      <c r="V134" s="408"/>
      <c r="W134" s="405"/>
      <c r="X134" s="406"/>
      <c r="Y134" s="379"/>
      <c r="Z134" s="379"/>
    </row>
    <row r="135" spans="1:26">
      <c r="A135" s="400" t="s">
        <v>1445</v>
      </c>
      <c r="B135" s="401" t="s">
        <v>1453</v>
      </c>
      <c r="C135" s="402" t="s">
        <v>1454</v>
      </c>
      <c r="D135" s="403">
        <v>75</v>
      </c>
      <c r="E135" s="402">
        <v>70</v>
      </c>
      <c r="F135" s="402">
        <v>60</v>
      </c>
      <c r="G135" s="402">
        <v>30</v>
      </c>
      <c r="H135" s="402">
        <v>6</v>
      </c>
      <c r="I135" s="402">
        <v>2</v>
      </c>
      <c r="J135" s="402" t="s">
        <v>1137</v>
      </c>
      <c r="K135" s="402">
        <v>40</v>
      </c>
      <c r="L135" s="402" t="s">
        <v>1145</v>
      </c>
      <c r="M135" s="403" t="s">
        <v>419</v>
      </c>
      <c r="N135" s="402" t="s">
        <v>1139</v>
      </c>
      <c r="O135" s="401"/>
      <c r="P135" s="405"/>
      <c r="Q135" s="405"/>
      <c r="R135" s="407"/>
      <c r="S135" s="405"/>
      <c r="T135" s="405"/>
      <c r="U135" s="407"/>
      <c r="V135" s="408"/>
      <c r="W135" s="405"/>
      <c r="X135" s="406"/>
      <c r="Y135" s="379"/>
      <c r="Z135" s="379"/>
    </row>
    <row r="136" spans="1:26" ht="20.399999999999999">
      <c r="A136" s="400" t="s">
        <v>1445</v>
      </c>
      <c r="B136" s="401" t="s">
        <v>1455</v>
      </c>
      <c r="C136" s="402" t="s">
        <v>1456</v>
      </c>
      <c r="D136" s="403">
        <v>75</v>
      </c>
      <c r="E136" s="402">
        <v>70</v>
      </c>
      <c r="F136" s="402">
        <v>60</v>
      </c>
      <c r="G136" s="402">
        <v>30</v>
      </c>
      <c r="H136" s="402">
        <v>6</v>
      </c>
      <c r="I136" s="402">
        <v>2</v>
      </c>
      <c r="J136" s="402" t="s">
        <v>1137</v>
      </c>
      <c r="K136" s="402">
        <v>40</v>
      </c>
      <c r="L136" s="402" t="s">
        <v>1145</v>
      </c>
      <c r="M136" s="403" t="s">
        <v>419</v>
      </c>
      <c r="N136" s="402" t="s">
        <v>1139</v>
      </c>
      <c r="O136" s="401"/>
      <c r="P136" s="405"/>
      <c r="Q136" s="405"/>
      <c r="R136" s="407"/>
      <c r="S136" s="405"/>
      <c r="T136" s="405"/>
      <c r="U136" s="407"/>
      <c r="V136" s="408"/>
      <c r="W136" s="405"/>
      <c r="X136" s="406"/>
      <c r="Y136" s="379"/>
      <c r="Z136" s="379"/>
    </row>
    <row r="137" spans="1:26" ht="183.6">
      <c r="A137" s="400" t="s">
        <v>1445</v>
      </c>
      <c r="B137" s="401" t="s">
        <v>1457</v>
      </c>
      <c r="C137" s="402" t="s">
        <v>1458</v>
      </c>
      <c r="D137" s="403">
        <v>75</v>
      </c>
      <c r="E137" s="402">
        <v>70</v>
      </c>
      <c r="F137" s="402">
        <v>60</v>
      </c>
      <c r="G137" s="402">
        <v>30</v>
      </c>
      <c r="H137" s="402">
        <v>15</v>
      </c>
      <c r="I137" s="402">
        <v>3</v>
      </c>
      <c r="J137" s="402" t="s">
        <v>1137</v>
      </c>
      <c r="K137" s="402">
        <v>35</v>
      </c>
      <c r="L137" s="402" t="s">
        <v>1145</v>
      </c>
      <c r="M137" s="403" t="s">
        <v>419</v>
      </c>
      <c r="N137" s="402" t="s">
        <v>1112</v>
      </c>
      <c r="O137" s="401"/>
      <c r="P137" s="405" t="s">
        <v>1459</v>
      </c>
      <c r="Q137" s="405" t="s">
        <v>1460</v>
      </c>
      <c r="R137" s="407"/>
      <c r="S137" s="405"/>
      <c r="T137" s="405"/>
      <c r="U137" s="407"/>
      <c r="V137" s="408"/>
      <c r="W137" s="405"/>
      <c r="X137" s="406"/>
      <c r="Y137" s="379"/>
      <c r="Z137" s="379"/>
    </row>
    <row r="138" spans="1:26">
      <c r="A138" s="400" t="s">
        <v>1445</v>
      </c>
      <c r="B138" s="401" t="s">
        <v>1461</v>
      </c>
      <c r="C138" s="402" t="s">
        <v>1462</v>
      </c>
      <c r="D138" s="403">
        <v>66</v>
      </c>
      <c r="E138" s="402">
        <v>72</v>
      </c>
      <c r="F138" s="402">
        <v>55</v>
      </c>
      <c r="G138" s="402">
        <v>30</v>
      </c>
      <c r="H138" s="402">
        <v>4</v>
      </c>
      <c r="I138" s="402">
        <v>4</v>
      </c>
      <c r="J138" s="402" t="s">
        <v>1137</v>
      </c>
      <c r="K138" s="402">
        <v>40</v>
      </c>
      <c r="L138" s="402" t="s">
        <v>1145</v>
      </c>
      <c r="M138" s="403" t="s">
        <v>419</v>
      </c>
      <c r="N138" s="402" t="s">
        <v>1112</v>
      </c>
      <c r="O138" s="421"/>
      <c r="P138" s="405"/>
      <c r="Q138" s="405"/>
      <c r="R138" s="407"/>
      <c r="S138" s="405"/>
      <c r="T138" s="405"/>
      <c r="U138" s="407"/>
      <c r="V138" s="408"/>
      <c r="W138" s="405"/>
      <c r="X138" s="406"/>
      <c r="Y138" s="379"/>
      <c r="Z138" s="379"/>
    </row>
    <row r="139" spans="1:26" ht="51">
      <c r="A139" s="400" t="s">
        <v>1445</v>
      </c>
      <c r="B139" s="401" t="s">
        <v>1463</v>
      </c>
      <c r="C139" s="402" t="s">
        <v>1464</v>
      </c>
      <c r="D139" s="425">
        <v>80</v>
      </c>
      <c r="E139" s="426">
        <v>65</v>
      </c>
      <c r="F139" s="426" t="s">
        <v>1465</v>
      </c>
      <c r="G139" s="426" t="s">
        <v>1465</v>
      </c>
      <c r="H139" s="426" t="s">
        <v>1465</v>
      </c>
      <c r="I139" s="426" t="s">
        <v>1465</v>
      </c>
      <c r="J139" s="426" t="s">
        <v>1123</v>
      </c>
      <c r="K139" s="426">
        <v>40</v>
      </c>
      <c r="L139" s="402" t="s">
        <v>1124</v>
      </c>
      <c r="M139" s="425" t="s">
        <v>420</v>
      </c>
      <c r="N139" s="426" t="s">
        <v>1466</v>
      </c>
      <c r="O139" s="401"/>
      <c r="P139" s="405" t="s">
        <v>1467</v>
      </c>
      <c r="Q139" s="405"/>
      <c r="R139" s="407"/>
      <c r="S139" s="405"/>
      <c r="T139" s="405"/>
      <c r="U139" s="407"/>
      <c r="V139" s="408"/>
      <c r="W139" s="405"/>
      <c r="X139" s="406"/>
      <c r="Y139" s="379"/>
      <c r="Z139" s="379"/>
    </row>
    <row r="140" spans="1:26" ht="102">
      <c r="A140" s="400" t="s">
        <v>1445</v>
      </c>
      <c r="B140" s="401" t="s">
        <v>1468</v>
      </c>
      <c r="C140" s="402" t="s">
        <v>1469</v>
      </c>
      <c r="D140" s="403">
        <v>75</v>
      </c>
      <c r="E140" s="402">
        <v>70</v>
      </c>
      <c r="F140" s="402">
        <v>60</v>
      </c>
      <c r="G140" s="402">
        <v>30</v>
      </c>
      <c r="H140" s="402">
        <v>6</v>
      </c>
      <c r="I140" s="402">
        <v>2</v>
      </c>
      <c r="J140" s="402" t="s">
        <v>1470</v>
      </c>
      <c r="K140" s="402">
        <v>40</v>
      </c>
      <c r="L140" s="402" t="s">
        <v>1124</v>
      </c>
      <c r="M140" s="403" t="s">
        <v>419</v>
      </c>
      <c r="N140" s="402" t="s">
        <v>1139</v>
      </c>
      <c r="O140" s="401"/>
      <c r="P140" s="405" t="s">
        <v>1471</v>
      </c>
      <c r="Q140" s="405" t="s">
        <v>1472</v>
      </c>
      <c r="R140" s="407" t="s">
        <v>1473</v>
      </c>
      <c r="S140" s="405"/>
      <c r="T140" s="405"/>
      <c r="U140" s="407"/>
      <c r="V140" s="408"/>
      <c r="W140" s="405"/>
      <c r="X140" s="406"/>
      <c r="Y140" s="379"/>
      <c r="Z140" s="379"/>
    </row>
    <row r="141" spans="1:26" ht="102">
      <c r="A141" s="400" t="s">
        <v>1445</v>
      </c>
      <c r="B141" s="401" t="s">
        <v>1474</v>
      </c>
      <c r="C141" s="402" t="s">
        <v>1475</v>
      </c>
      <c r="D141" s="403">
        <v>75</v>
      </c>
      <c r="E141" s="402">
        <v>70</v>
      </c>
      <c r="F141" s="402">
        <v>60</v>
      </c>
      <c r="G141" s="402">
        <v>30</v>
      </c>
      <c r="H141" s="402">
        <v>6</v>
      </c>
      <c r="I141" s="402">
        <v>2</v>
      </c>
      <c r="J141" s="402" t="s">
        <v>1470</v>
      </c>
      <c r="K141" s="402">
        <v>40</v>
      </c>
      <c r="L141" s="402" t="s">
        <v>1124</v>
      </c>
      <c r="M141" s="403" t="s">
        <v>419</v>
      </c>
      <c r="N141" s="402" t="s">
        <v>1139</v>
      </c>
      <c r="O141" s="401"/>
      <c r="P141" s="405" t="s">
        <v>1476</v>
      </c>
      <c r="Q141" s="405" t="s">
        <v>1477</v>
      </c>
      <c r="R141" s="407"/>
      <c r="S141" s="405"/>
      <c r="T141" s="405"/>
      <c r="U141" s="407"/>
      <c r="V141" s="408"/>
      <c r="W141" s="405"/>
      <c r="X141" s="406"/>
      <c r="Y141" s="379"/>
      <c r="Z141" s="379"/>
    </row>
    <row r="142" spans="1:26">
      <c r="A142" s="400" t="s">
        <v>1445</v>
      </c>
      <c r="B142" s="401" t="s">
        <v>1478</v>
      </c>
      <c r="C142" s="402" t="s">
        <v>1479</v>
      </c>
      <c r="D142" s="403">
        <v>75</v>
      </c>
      <c r="E142" s="402">
        <v>70</v>
      </c>
      <c r="F142" s="402">
        <v>60</v>
      </c>
      <c r="G142" s="402">
        <v>30</v>
      </c>
      <c r="H142" s="402">
        <v>6</v>
      </c>
      <c r="I142" s="402">
        <v>2</v>
      </c>
      <c r="J142" s="402" t="s">
        <v>1137</v>
      </c>
      <c r="K142" s="402">
        <v>35</v>
      </c>
      <c r="L142" s="402" t="s">
        <v>1145</v>
      </c>
      <c r="M142" s="403" t="s">
        <v>419</v>
      </c>
      <c r="N142" s="402" t="s">
        <v>1139</v>
      </c>
      <c r="O142" s="401"/>
      <c r="P142" s="405"/>
      <c r="Q142" s="405"/>
      <c r="R142" s="407"/>
      <c r="S142" s="405"/>
      <c r="T142" s="405"/>
      <c r="U142" s="407"/>
      <c r="V142" s="408"/>
      <c r="W142" s="405"/>
      <c r="X142" s="406"/>
      <c r="Y142" s="379"/>
      <c r="Z142" s="379"/>
    </row>
    <row r="143" spans="1:26">
      <c r="A143" s="400" t="s">
        <v>1480</v>
      </c>
      <c r="B143" s="401" t="s">
        <v>1405</v>
      </c>
      <c r="C143" s="402" t="s">
        <v>1481</v>
      </c>
      <c r="D143" s="403">
        <v>78</v>
      </c>
      <c r="E143" s="402">
        <v>72</v>
      </c>
      <c r="F143" s="402">
        <v>60</v>
      </c>
      <c r="G143" s="402">
        <v>30</v>
      </c>
      <c r="H143" s="402">
        <v>6</v>
      </c>
      <c r="I143" s="402">
        <v>2</v>
      </c>
      <c r="J143" s="402" t="s">
        <v>1137</v>
      </c>
      <c r="K143" s="402">
        <v>35</v>
      </c>
      <c r="L143" s="418" t="s">
        <v>1138</v>
      </c>
      <c r="M143" s="403" t="s">
        <v>419</v>
      </c>
      <c r="N143" s="402" t="s">
        <v>1139</v>
      </c>
      <c r="O143" s="401"/>
      <c r="P143" s="405"/>
      <c r="Q143" s="405"/>
      <c r="R143" s="407"/>
      <c r="S143" s="405"/>
      <c r="T143" s="405"/>
      <c r="U143" s="407"/>
      <c r="V143" s="408"/>
      <c r="W143" s="405"/>
      <c r="X143" s="406"/>
      <c r="Y143" s="379"/>
      <c r="Z143" s="379"/>
    </row>
    <row r="144" spans="1:26" ht="40.799999999999997">
      <c r="A144" s="400" t="s">
        <v>1480</v>
      </c>
      <c r="B144" s="401" t="s">
        <v>1482</v>
      </c>
      <c r="C144" s="402" t="s">
        <v>1483</v>
      </c>
      <c r="D144" s="403">
        <v>78</v>
      </c>
      <c r="E144" s="402">
        <v>72</v>
      </c>
      <c r="F144" s="402">
        <v>60</v>
      </c>
      <c r="G144" s="402">
        <v>30</v>
      </c>
      <c r="H144" s="402">
        <v>12</v>
      </c>
      <c r="I144" s="402">
        <v>2</v>
      </c>
      <c r="J144" s="402" t="s">
        <v>1110</v>
      </c>
      <c r="K144" s="402">
        <v>35</v>
      </c>
      <c r="L144" s="402" t="s">
        <v>1339</v>
      </c>
      <c r="M144" s="403" t="s">
        <v>419</v>
      </c>
      <c r="N144" s="402" t="s">
        <v>1112</v>
      </c>
      <c r="O144" s="401"/>
      <c r="P144" s="405" t="s">
        <v>1484</v>
      </c>
      <c r="Q144" s="405"/>
      <c r="R144" s="407"/>
      <c r="S144" s="405"/>
      <c r="T144" s="405"/>
      <c r="U144" s="407"/>
      <c r="V144" s="408"/>
      <c r="W144" s="405"/>
      <c r="X144" s="406"/>
      <c r="Y144" s="379"/>
      <c r="Z144" s="379"/>
    </row>
    <row r="145" spans="1:30">
      <c r="A145" s="400" t="s">
        <v>1480</v>
      </c>
      <c r="B145" s="401" t="s">
        <v>1485</v>
      </c>
      <c r="C145" s="402" t="s">
        <v>1486</v>
      </c>
      <c r="D145" s="403">
        <v>78</v>
      </c>
      <c r="E145" s="402">
        <v>72</v>
      </c>
      <c r="F145" s="402">
        <v>60</v>
      </c>
      <c r="G145" s="402">
        <v>30</v>
      </c>
      <c r="H145" s="402">
        <v>6</v>
      </c>
      <c r="I145" s="402">
        <v>2</v>
      </c>
      <c r="J145" s="402" t="s">
        <v>1137</v>
      </c>
      <c r="K145" s="402">
        <v>35</v>
      </c>
      <c r="L145" s="418" t="s">
        <v>1138</v>
      </c>
      <c r="M145" s="403" t="s">
        <v>419</v>
      </c>
      <c r="N145" s="402" t="s">
        <v>1139</v>
      </c>
      <c r="O145" s="401"/>
      <c r="P145" s="405"/>
      <c r="Q145" s="405"/>
      <c r="R145" s="407"/>
      <c r="S145" s="405"/>
      <c r="T145" s="405"/>
      <c r="U145" s="407"/>
      <c r="V145" s="408"/>
      <c r="W145" s="405"/>
      <c r="X145" s="406"/>
      <c r="Y145" s="379"/>
      <c r="Z145" s="379"/>
    </row>
    <row r="146" spans="1:30">
      <c r="A146" s="400" t="s">
        <v>1480</v>
      </c>
      <c r="B146" s="401" t="s">
        <v>1405</v>
      </c>
      <c r="C146" s="402" t="s">
        <v>1487</v>
      </c>
      <c r="D146" s="403">
        <v>78</v>
      </c>
      <c r="E146" s="402">
        <v>72</v>
      </c>
      <c r="F146" s="402">
        <v>60</v>
      </c>
      <c r="G146" s="402">
        <v>30</v>
      </c>
      <c r="H146" s="402">
        <v>6</v>
      </c>
      <c r="I146" s="402">
        <v>2</v>
      </c>
      <c r="J146" s="402" t="s">
        <v>1137</v>
      </c>
      <c r="K146" s="402">
        <v>35</v>
      </c>
      <c r="L146" s="418" t="s">
        <v>1138</v>
      </c>
      <c r="M146" s="403" t="s">
        <v>419</v>
      </c>
      <c r="N146" s="402" t="s">
        <v>1139</v>
      </c>
      <c r="O146" s="401"/>
      <c r="P146" s="405"/>
      <c r="Q146" s="405"/>
      <c r="R146" s="407"/>
      <c r="S146" s="405"/>
      <c r="T146" s="405"/>
      <c r="U146" s="407"/>
      <c r="V146" s="408"/>
      <c r="W146" s="405"/>
      <c r="X146" s="406"/>
      <c r="Y146" s="379"/>
      <c r="Z146" s="379"/>
    </row>
    <row r="147" spans="1:30">
      <c r="A147" s="400" t="s">
        <v>1480</v>
      </c>
      <c r="B147" s="401" t="s">
        <v>1488</v>
      </c>
      <c r="C147" s="402" t="s">
        <v>1489</v>
      </c>
      <c r="D147" s="403">
        <v>78</v>
      </c>
      <c r="E147" s="402">
        <v>72</v>
      </c>
      <c r="F147" s="402">
        <v>60</v>
      </c>
      <c r="G147" s="402">
        <v>30</v>
      </c>
      <c r="H147" s="402">
        <v>10</v>
      </c>
      <c r="I147" s="402" t="s">
        <v>418</v>
      </c>
      <c r="J147" s="402" t="s">
        <v>1123</v>
      </c>
      <c r="K147" s="402">
        <v>40</v>
      </c>
      <c r="L147" s="418" t="s">
        <v>1339</v>
      </c>
      <c r="M147" s="403" t="s">
        <v>419</v>
      </c>
      <c r="N147" s="402" t="s">
        <v>1112</v>
      </c>
      <c r="O147" s="401"/>
      <c r="P147" s="405"/>
      <c r="Q147" s="405"/>
      <c r="R147" s="407"/>
      <c r="S147" s="405"/>
      <c r="T147" s="405"/>
      <c r="U147" s="407"/>
      <c r="V147" s="408"/>
      <c r="W147" s="405"/>
      <c r="X147" s="406"/>
      <c r="Y147" s="379"/>
      <c r="Z147" s="379"/>
    </row>
    <row r="148" spans="1:30">
      <c r="A148" s="400" t="s">
        <v>1480</v>
      </c>
      <c r="B148" s="401" t="s">
        <v>1490</v>
      </c>
      <c r="C148" s="402" t="s">
        <v>1491</v>
      </c>
      <c r="D148" s="403">
        <v>78</v>
      </c>
      <c r="E148" s="402">
        <v>72</v>
      </c>
      <c r="F148" s="402">
        <v>60</v>
      </c>
      <c r="G148" s="402">
        <v>30</v>
      </c>
      <c r="H148" s="402">
        <v>10</v>
      </c>
      <c r="I148" s="402" t="s">
        <v>418</v>
      </c>
      <c r="J148" s="402" t="s">
        <v>1123</v>
      </c>
      <c r="K148" s="402">
        <v>40</v>
      </c>
      <c r="L148" s="418" t="s">
        <v>1124</v>
      </c>
      <c r="M148" s="403" t="s">
        <v>419</v>
      </c>
      <c r="N148" s="402" t="s">
        <v>1112</v>
      </c>
      <c r="O148" s="401"/>
      <c r="P148" s="405"/>
      <c r="Q148" s="405"/>
      <c r="R148" s="407"/>
      <c r="S148" s="405"/>
      <c r="T148" s="405"/>
      <c r="U148" s="407"/>
      <c r="V148" s="408"/>
      <c r="W148" s="405"/>
      <c r="X148" s="406"/>
      <c r="Y148" s="379"/>
      <c r="Z148" s="379"/>
    </row>
    <row r="149" spans="1:30" ht="39.75" customHeight="1">
      <c r="A149" s="400" t="s">
        <v>1480</v>
      </c>
      <c r="B149" s="401" t="s">
        <v>1492</v>
      </c>
      <c r="C149" s="402" t="s">
        <v>1493</v>
      </c>
      <c r="D149" s="403">
        <v>70</v>
      </c>
      <c r="E149" s="402">
        <v>70</v>
      </c>
      <c r="F149" s="402">
        <v>55</v>
      </c>
      <c r="G149" s="402">
        <v>30</v>
      </c>
      <c r="H149" s="402">
        <v>4</v>
      </c>
      <c r="I149" s="402">
        <v>4</v>
      </c>
      <c r="J149" s="402" t="s">
        <v>1137</v>
      </c>
      <c r="K149" s="402">
        <v>40</v>
      </c>
      <c r="L149" s="418" t="s">
        <v>1145</v>
      </c>
      <c r="M149" s="403" t="s">
        <v>419</v>
      </c>
      <c r="N149" s="402" t="s">
        <v>1112</v>
      </c>
      <c r="O149" s="401"/>
      <c r="P149" s="405"/>
      <c r="Q149" s="405"/>
      <c r="R149" s="407"/>
      <c r="S149" s="405"/>
      <c r="T149" s="405"/>
      <c r="U149" s="407"/>
      <c r="V149" s="408"/>
      <c r="W149" s="405"/>
      <c r="X149" s="406"/>
      <c r="Y149" s="379"/>
      <c r="Z149" s="379"/>
    </row>
    <row r="150" spans="1:30" ht="265.2">
      <c r="A150" s="400" t="s">
        <v>1494</v>
      </c>
      <c r="B150" s="401" t="s">
        <v>1495</v>
      </c>
      <c r="C150" s="402" t="s">
        <v>1496</v>
      </c>
      <c r="D150" s="403">
        <v>68</v>
      </c>
      <c r="E150" s="402">
        <v>73</v>
      </c>
      <c r="F150" s="402">
        <v>60</v>
      </c>
      <c r="G150" s="402">
        <v>30</v>
      </c>
      <c r="H150" s="402">
        <v>10</v>
      </c>
      <c r="I150" s="402">
        <v>2</v>
      </c>
      <c r="J150" s="402" t="s">
        <v>1123</v>
      </c>
      <c r="K150" s="402">
        <v>35</v>
      </c>
      <c r="L150" s="402" t="s">
        <v>1138</v>
      </c>
      <c r="M150" s="403" t="s">
        <v>419</v>
      </c>
      <c r="N150" s="402" t="s">
        <v>1112</v>
      </c>
      <c r="O150" s="401"/>
      <c r="P150" s="405" t="s">
        <v>1497</v>
      </c>
      <c r="Q150" s="405" t="s">
        <v>1498</v>
      </c>
      <c r="R150" s="405" t="s">
        <v>1499</v>
      </c>
      <c r="S150" s="405" t="s">
        <v>1500</v>
      </c>
      <c r="T150" s="405"/>
      <c r="U150" s="407"/>
      <c r="V150" s="408"/>
      <c r="W150" s="405"/>
      <c r="X150" s="406"/>
      <c r="Y150" s="379"/>
      <c r="Z150" s="379"/>
    </row>
    <row r="151" spans="1:30" ht="182.25" customHeight="1">
      <c r="A151" s="400" t="s">
        <v>1494</v>
      </c>
      <c r="B151" s="401" t="s">
        <v>1501</v>
      </c>
      <c r="C151" s="402" t="s">
        <v>1502</v>
      </c>
      <c r="D151" s="403">
        <v>68</v>
      </c>
      <c r="E151" s="402">
        <v>73</v>
      </c>
      <c r="F151" s="402">
        <v>60</v>
      </c>
      <c r="G151" s="402">
        <v>30</v>
      </c>
      <c r="H151" s="402">
        <v>6</v>
      </c>
      <c r="I151" s="402">
        <v>2</v>
      </c>
      <c r="J151" s="402" t="s">
        <v>1137</v>
      </c>
      <c r="K151" s="402">
        <v>35</v>
      </c>
      <c r="L151" s="402" t="s">
        <v>1138</v>
      </c>
      <c r="M151" s="403" t="s">
        <v>419</v>
      </c>
      <c r="N151" s="402" t="s">
        <v>1112</v>
      </c>
      <c r="O151" s="401"/>
      <c r="P151" s="405" t="s">
        <v>1497</v>
      </c>
      <c r="Q151" s="405" t="s">
        <v>1503</v>
      </c>
      <c r="R151" s="405" t="s">
        <v>1504</v>
      </c>
      <c r="S151" s="405"/>
      <c r="T151" s="405"/>
      <c r="U151" s="407"/>
      <c r="V151" s="408"/>
      <c r="W151" s="427"/>
      <c r="X151" s="428"/>
      <c r="Y151" s="381"/>
      <c r="Z151" s="381"/>
      <c r="AA151" s="381"/>
      <c r="AB151" s="381"/>
      <c r="AC151" s="381"/>
    </row>
    <row r="152" spans="1:30" ht="198" customHeight="1">
      <c r="A152" s="400" t="s">
        <v>1494</v>
      </c>
      <c r="B152" s="401" t="s">
        <v>1505</v>
      </c>
      <c r="C152" s="402" t="s">
        <v>1506</v>
      </c>
      <c r="D152" s="403">
        <v>66</v>
      </c>
      <c r="E152" s="402">
        <v>72</v>
      </c>
      <c r="F152" s="402">
        <v>60</v>
      </c>
      <c r="G152" s="410">
        <v>30</v>
      </c>
      <c r="H152" s="402">
        <v>10</v>
      </c>
      <c r="I152" s="402">
        <v>10</v>
      </c>
      <c r="J152" s="402" t="s">
        <v>1123</v>
      </c>
      <c r="K152" s="402">
        <v>40</v>
      </c>
      <c r="L152" s="402" t="s">
        <v>1339</v>
      </c>
      <c r="M152" s="403" t="s">
        <v>419</v>
      </c>
      <c r="N152" s="402" t="s">
        <v>1112</v>
      </c>
      <c r="O152" s="401"/>
      <c r="P152" s="405" t="s">
        <v>1497</v>
      </c>
      <c r="Q152" s="405" t="s">
        <v>1503</v>
      </c>
      <c r="R152" s="405" t="s">
        <v>1507</v>
      </c>
      <c r="S152" s="405"/>
      <c r="T152" s="405"/>
      <c r="U152" s="407"/>
      <c r="V152" s="408"/>
      <c r="W152" s="429"/>
      <c r="X152" s="430"/>
      <c r="Y152" s="382"/>
      <c r="Z152" s="382"/>
      <c r="AA152" s="382"/>
      <c r="AB152" s="382"/>
      <c r="AC152" s="382"/>
      <c r="AD152" s="383"/>
    </row>
    <row r="153" spans="1:30" ht="255">
      <c r="A153" s="400" t="s">
        <v>1494</v>
      </c>
      <c r="B153" s="401" t="s">
        <v>1508</v>
      </c>
      <c r="C153" s="402" t="s">
        <v>1509</v>
      </c>
      <c r="D153" s="403">
        <v>66</v>
      </c>
      <c r="E153" s="402">
        <v>72</v>
      </c>
      <c r="F153" s="402">
        <v>60</v>
      </c>
      <c r="G153" s="410">
        <v>30</v>
      </c>
      <c r="H153" s="402">
        <v>10</v>
      </c>
      <c r="I153" s="402">
        <v>10</v>
      </c>
      <c r="J153" s="402" t="s">
        <v>1123</v>
      </c>
      <c r="K153" s="402">
        <v>40</v>
      </c>
      <c r="L153" s="418" t="s">
        <v>1124</v>
      </c>
      <c r="M153" s="403" t="s">
        <v>419</v>
      </c>
      <c r="N153" s="402" t="s">
        <v>1112</v>
      </c>
      <c r="O153" s="401"/>
      <c r="P153" s="405" t="s">
        <v>1497</v>
      </c>
      <c r="Q153" s="405" t="s">
        <v>1503</v>
      </c>
      <c r="R153" s="405"/>
      <c r="S153" s="405"/>
      <c r="T153" s="405"/>
      <c r="U153" s="407"/>
      <c r="V153" s="408"/>
      <c r="W153" s="405"/>
      <c r="X153" s="406"/>
      <c r="Y153" s="384"/>
      <c r="Z153" s="384"/>
      <c r="AA153" s="384"/>
      <c r="AB153" s="384"/>
      <c r="AC153" s="384"/>
    </row>
    <row r="154" spans="1:30" ht="255">
      <c r="A154" s="400" t="s">
        <v>1494</v>
      </c>
      <c r="B154" s="401" t="s">
        <v>1510</v>
      </c>
      <c r="C154" s="402" t="s">
        <v>1511</v>
      </c>
      <c r="D154" s="403">
        <v>66</v>
      </c>
      <c r="E154" s="402">
        <v>72</v>
      </c>
      <c r="F154" s="402">
        <v>60</v>
      </c>
      <c r="G154" s="410">
        <v>30</v>
      </c>
      <c r="H154" s="402">
        <v>4</v>
      </c>
      <c r="I154" s="402">
        <v>2</v>
      </c>
      <c r="J154" s="402" t="s">
        <v>1137</v>
      </c>
      <c r="K154" s="402">
        <v>40</v>
      </c>
      <c r="L154" s="418" t="s">
        <v>1145</v>
      </c>
      <c r="M154" s="403" t="s">
        <v>419</v>
      </c>
      <c r="N154" s="402" t="s">
        <v>1112</v>
      </c>
      <c r="O154" s="401"/>
      <c r="P154" s="405" t="s">
        <v>1497</v>
      </c>
      <c r="Q154" s="405" t="s">
        <v>1503</v>
      </c>
      <c r="R154" s="405"/>
      <c r="S154" s="405"/>
      <c r="T154" s="405"/>
      <c r="U154" s="407"/>
      <c r="V154" s="408"/>
      <c r="W154" s="405"/>
      <c r="X154" s="406"/>
      <c r="Y154" s="379"/>
      <c r="Z154" s="379"/>
    </row>
    <row r="155" spans="1:30" ht="255">
      <c r="A155" s="400" t="s">
        <v>1494</v>
      </c>
      <c r="B155" s="401" t="s">
        <v>1512</v>
      </c>
      <c r="C155" s="402" t="s">
        <v>1513</v>
      </c>
      <c r="D155" s="403">
        <v>75</v>
      </c>
      <c r="E155" s="402">
        <v>70</v>
      </c>
      <c r="F155" s="402">
        <v>60</v>
      </c>
      <c r="G155" s="410">
        <v>30</v>
      </c>
      <c r="H155" s="402">
        <v>6</v>
      </c>
      <c r="I155" s="402">
        <v>2</v>
      </c>
      <c r="J155" s="402" t="s">
        <v>1137</v>
      </c>
      <c r="K155" s="402">
        <v>35</v>
      </c>
      <c r="L155" s="418" t="s">
        <v>1138</v>
      </c>
      <c r="M155" s="403" t="s">
        <v>419</v>
      </c>
      <c r="N155" s="402" t="s">
        <v>1112</v>
      </c>
      <c r="O155" s="401"/>
      <c r="P155" s="405" t="s">
        <v>1497</v>
      </c>
      <c r="Q155" s="405" t="s">
        <v>1503</v>
      </c>
      <c r="R155" s="405" t="s">
        <v>1504</v>
      </c>
      <c r="S155" s="405"/>
      <c r="T155" s="405"/>
      <c r="U155" s="407"/>
      <c r="V155" s="408"/>
      <c r="W155" s="405"/>
      <c r="X155" s="406"/>
      <c r="Y155" s="379"/>
      <c r="Z155" s="379"/>
    </row>
    <row r="156" spans="1:30" ht="51">
      <c r="A156" s="400" t="s">
        <v>1514</v>
      </c>
      <c r="B156" s="401" t="s">
        <v>1245</v>
      </c>
      <c r="C156" s="402" t="s">
        <v>1246</v>
      </c>
      <c r="D156" s="403">
        <v>75</v>
      </c>
      <c r="E156" s="402">
        <v>70</v>
      </c>
      <c r="F156" s="402">
        <v>60</v>
      </c>
      <c r="G156" s="402">
        <v>30</v>
      </c>
      <c r="H156" s="402">
        <v>4</v>
      </c>
      <c r="I156" s="402">
        <v>2</v>
      </c>
      <c r="J156" s="402" t="s">
        <v>1137</v>
      </c>
      <c r="K156" s="402">
        <v>35</v>
      </c>
      <c r="L156" s="418" t="s">
        <v>1138</v>
      </c>
      <c r="M156" s="403" t="s">
        <v>1096</v>
      </c>
      <c r="N156" s="402" t="s">
        <v>1139</v>
      </c>
      <c r="O156" s="401"/>
      <c r="P156" s="405" t="s">
        <v>1515</v>
      </c>
      <c r="Q156" s="405"/>
      <c r="R156" s="407"/>
      <c r="S156" s="405"/>
      <c r="T156" s="405"/>
      <c r="U156" s="407"/>
      <c r="V156" s="408"/>
      <c r="W156" s="405"/>
      <c r="X156" s="406"/>
      <c r="Y156" s="379"/>
      <c r="Z156" s="379"/>
    </row>
    <row r="157" spans="1:30" ht="153">
      <c r="A157" s="400" t="s">
        <v>1514</v>
      </c>
      <c r="B157" s="401" t="s">
        <v>1516</v>
      </c>
      <c r="C157" s="402" t="s">
        <v>1517</v>
      </c>
      <c r="D157" s="403">
        <v>75</v>
      </c>
      <c r="E157" s="402">
        <v>70</v>
      </c>
      <c r="F157" s="402">
        <v>60</v>
      </c>
      <c r="G157" s="402">
        <v>30</v>
      </c>
      <c r="H157" s="402">
        <v>6</v>
      </c>
      <c r="I157" s="402">
        <v>2</v>
      </c>
      <c r="J157" s="402" t="s">
        <v>1137</v>
      </c>
      <c r="K157" s="402">
        <v>40</v>
      </c>
      <c r="L157" s="418" t="s">
        <v>1138</v>
      </c>
      <c r="M157" s="403" t="s">
        <v>419</v>
      </c>
      <c r="N157" s="402" t="s">
        <v>1139</v>
      </c>
      <c r="O157" s="401"/>
      <c r="P157" s="405" t="s">
        <v>1518</v>
      </c>
      <c r="Q157" s="405" t="s">
        <v>1519</v>
      </c>
      <c r="R157" s="407"/>
      <c r="S157" s="405"/>
      <c r="T157" s="405"/>
      <c r="U157" s="407"/>
      <c r="V157" s="408"/>
      <c r="W157" s="405"/>
      <c r="X157" s="406"/>
      <c r="Y157" s="379"/>
      <c r="Z157" s="379"/>
    </row>
    <row r="158" spans="1:30" ht="40.799999999999997">
      <c r="A158" s="400" t="s">
        <v>1514</v>
      </c>
      <c r="B158" s="401" t="s">
        <v>1520</v>
      </c>
      <c r="C158" s="402" t="s">
        <v>1521</v>
      </c>
      <c r="D158" s="403">
        <v>75</v>
      </c>
      <c r="E158" s="402">
        <v>70</v>
      </c>
      <c r="F158" s="402">
        <v>60</v>
      </c>
      <c r="G158" s="402">
        <v>30</v>
      </c>
      <c r="H158" s="402">
        <v>4</v>
      </c>
      <c r="I158" s="402">
        <v>2</v>
      </c>
      <c r="J158" s="402" t="s">
        <v>1137</v>
      </c>
      <c r="K158" s="402">
        <v>35</v>
      </c>
      <c r="L158" s="418" t="s">
        <v>1138</v>
      </c>
      <c r="M158" s="403" t="s">
        <v>419</v>
      </c>
      <c r="N158" s="402" t="s">
        <v>1139</v>
      </c>
      <c r="O158" s="401"/>
      <c r="P158" s="405"/>
      <c r="Q158" s="405"/>
      <c r="R158" s="407"/>
      <c r="S158" s="405"/>
      <c r="T158" s="405"/>
      <c r="U158" s="407"/>
      <c r="V158" s="408"/>
      <c r="W158" s="405"/>
      <c r="X158" s="406"/>
      <c r="Y158" s="384"/>
      <c r="Z158" s="384"/>
      <c r="AA158" s="384"/>
      <c r="AB158" s="384"/>
      <c r="AC158" s="384"/>
    </row>
    <row r="159" spans="1:30" ht="30.6">
      <c r="A159" s="400" t="s">
        <v>1514</v>
      </c>
      <c r="B159" s="401" t="s">
        <v>1520</v>
      </c>
      <c r="C159" s="402" t="s">
        <v>1522</v>
      </c>
      <c r="D159" s="403">
        <v>75</v>
      </c>
      <c r="E159" s="402">
        <v>70</v>
      </c>
      <c r="F159" s="402">
        <v>60</v>
      </c>
      <c r="G159" s="402">
        <v>30</v>
      </c>
      <c r="H159" s="402">
        <v>4</v>
      </c>
      <c r="I159" s="402">
        <v>2</v>
      </c>
      <c r="J159" s="402" t="s">
        <v>1137</v>
      </c>
      <c r="K159" s="402">
        <v>35</v>
      </c>
      <c r="L159" s="418" t="s">
        <v>1138</v>
      </c>
      <c r="M159" s="403" t="s">
        <v>419</v>
      </c>
      <c r="N159" s="402" t="s">
        <v>1139</v>
      </c>
      <c r="O159" s="401"/>
      <c r="P159" s="405"/>
      <c r="Q159" s="405"/>
      <c r="R159" s="407"/>
      <c r="S159" s="405"/>
      <c r="T159" s="405"/>
      <c r="U159" s="407"/>
      <c r="V159" s="408"/>
      <c r="W159" s="405"/>
      <c r="X159" s="406"/>
      <c r="Y159" s="379"/>
      <c r="Z159" s="379"/>
    </row>
    <row r="160" spans="1:30" ht="81.599999999999994">
      <c r="A160" s="400" t="s">
        <v>1514</v>
      </c>
      <c r="B160" s="401" t="s">
        <v>1523</v>
      </c>
      <c r="C160" s="402" t="s">
        <v>1524</v>
      </c>
      <c r="D160" s="403" t="s">
        <v>404</v>
      </c>
      <c r="E160" s="402">
        <v>70</v>
      </c>
      <c r="F160" s="402" t="s">
        <v>404</v>
      </c>
      <c r="G160" s="402" t="s">
        <v>404</v>
      </c>
      <c r="H160" s="402">
        <v>10</v>
      </c>
      <c r="I160" s="402" t="s">
        <v>404</v>
      </c>
      <c r="J160" s="402" t="s">
        <v>1324</v>
      </c>
      <c r="K160" s="402">
        <v>40</v>
      </c>
      <c r="L160" s="402" t="s">
        <v>1124</v>
      </c>
      <c r="M160" s="403" t="s">
        <v>419</v>
      </c>
      <c r="N160" s="402" t="s">
        <v>1112</v>
      </c>
      <c r="O160" s="401"/>
      <c r="P160" s="405" t="s">
        <v>1325</v>
      </c>
      <c r="Q160" s="405" t="s">
        <v>1525</v>
      </c>
      <c r="R160" s="407"/>
      <c r="S160" s="405"/>
      <c r="T160" s="405"/>
      <c r="U160" s="407"/>
      <c r="V160" s="408"/>
      <c r="W160" s="405"/>
      <c r="X160" s="406"/>
      <c r="Y160" s="379"/>
      <c r="Z160" s="379"/>
    </row>
    <row r="161" spans="1:26" ht="20.399999999999999">
      <c r="A161" s="400" t="s">
        <v>1514</v>
      </c>
      <c r="B161" s="401" t="s">
        <v>1405</v>
      </c>
      <c r="C161" s="402" t="s">
        <v>1526</v>
      </c>
      <c r="D161" s="403">
        <v>75</v>
      </c>
      <c r="E161" s="402">
        <v>70</v>
      </c>
      <c r="F161" s="402">
        <v>60</v>
      </c>
      <c r="G161" s="402">
        <v>30</v>
      </c>
      <c r="H161" s="402">
        <v>4</v>
      </c>
      <c r="I161" s="402">
        <v>2</v>
      </c>
      <c r="J161" s="402" t="s">
        <v>1137</v>
      </c>
      <c r="K161" s="402">
        <v>40</v>
      </c>
      <c r="L161" s="418" t="s">
        <v>1138</v>
      </c>
      <c r="M161" s="403" t="s">
        <v>419</v>
      </c>
      <c r="N161" s="402" t="s">
        <v>1139</v>
      </c>
      <c r="O161" s="401"/>
      <c r="P161" s="405"/>
      <c r="Q161" s="405"/>
      <c r="R161" s="407"/>
      <c r="S161" s="405"/>
      <c r="T161" s="405"/>
      <c r="U161" s="407"/>
      <c r="V161" s="408"/>
      <c r="W161" s="405"/>
      <c r="X161" s="406"/>
      <c r="Y161" s="379"/>
      <c r="Z161" s="379"/>
    </row>
    <row r="162" spans="1:26" ht="51">
      <c r="A162" s="400" t="s">
        <v>1514</v>
      </c>
      <c r="B162" s="401" t="s">
        <v>1527</v>
      </c>
      <c r="C162" s="402" t="s">
        <v>1528</v>
      </c>
      <c r="D162" s="403" t="s">
        <v>404</v>
      </c>
      <c r="E162" s="402">
        <v>70</v>
      </c>
      <c r="F162" s="402" t="s">
        <v>404</v>
      </c>
      <c r="G162" s="402" t="s">
        <v>404</v>
      </c>
      <c r="H162" s="402">
        <v>10</v>
      </c>
      <c r="I162" s="402" t="s">
        <v>404</v>
      </c>
      <c r="J162" s="402" t="s">
        <v>1324</v>
      </c>
      <c r="K162" s="402">
        <v>40</v>
      </c>
      <c r="L162" s="402" t="s">
        <v>1124</v>
      </c>
      <c r="M162" s="403" t="s">
        <v>419</v>
      </c>
      <c r="N162" s="402" t="s">
        <v>1112</v>
      </c>
      <c r="O162" s="401"/>
      <c r="P162" s="405" t="s">
        <v>1325</v>
      </c>
      <c r="Q162" s="405"/>
      <c r="R162" s="407"/>
      <c r="S162" s="405"/>
      <c r="T162" s="405"/>
      <c r="U162" s="407"/>
      <c r="V162" s="408"/>
      <c r="W162" s="405"/>
      <c r="X162" s="406"/>
      <c r="Y162" s="379"/>
      <c r="Z162" s="379"/>
    </row>
    <row r="163" spans="1:26" ht="163.19999999999999">
      <c r="A163" s="400" t="s">
        <v>1529</v>
      </c>
      <c r="B163" s="401" t="s">
        <v>1530</v>
      </c>
      <c r="C163" s="402" t="s">
        <v>1531</v>
      </c>
      <c r="D163" s="403">
        <v>75</v>
      </c>
      <c r="E163" s="402">
        <v>70</v>
      </c>
      <c r="F163" s="402">
        <v>60</v>
      </c>
      <c r="G163" s="402">
        <v>30</v>
      </c>
      <c r="H163" s="402">
        <v>6</v>
      </c>
      <c r="I163" s="402">
        <v>2</v>
      </c>
      <c r="J163" s="402" t="s">
        <v>1137</v>
      </c>
      <c r="K163" s="402">
        <v>35</v>
      </c>
      <c r="L163" s="418" t="s">
        <v>1138</v>
      </c>
      <c r="M163" s="403" t="s">
        <v>420</v>
      </c>
      <c r="N163" s="402" t="s">
        <v>1139</v>
      </c>
      <c r="O163" s="401"/>
      <c r="P163" s="405" t="s">
        <v>1532</v>
      </c>
      <c r="Q163" s="405" t="s">
        <v>1533</v>
      </c>
      <c r="R163" s="407"/>
      <c r="S163" s="405"/>
      <c r="T163" s="405"/>
      <c r="U163" s="407"/>
      <c r="V163" s="408"/>
      <c r="W163" s="405"/>
      <c r="X163" s="406"/>
      <c r="Y163" s="379"/>
      <c r="Z163" s="379"/>
    </row>
    <row r="164" spans="1:26" ht="163.19999999999999">
      <c r="A164" s="400" t="s">
        <v>1529</v>
      </c>
      <c r="B164" s="401" t="s">
        <v>1534</v>
      </c>
      <c r="C164" s="402" t="s">
        <v>1535</v>
      </c>
      <c r="D164" s="403">
        <v>75</v>
      </c>
      <c r="E164" s="402">
        <v>70</v>
      </c>
      <c r="F164" s="402">
        <v>60</v>
      </c>
      <c r="G164" s="402">
        <v>30</v>
      </c>
      <c r="H164" s="402">
        <v>6</v>
      </c>
      <c r="I164" s="402">
        <v>2</v>
      </c>
      <c r="J164" s="402" t="s">
        <v>1137</v>
      </c>
      <c r="K164" s="402">
        <v>35</v>
      </c>
      <c r="L164" s="418" t="s">
        <v>1138</v>
      </c>
      <c r="M164" s="403" t="s">
        <v>420</v>
      </c>
      <c r="N164" s="402" t="s">
        <v>1139</v>
      </c>
      <c r="O164" s="401"/>
      <c r="P164" s="405" t="s">
        <v>1532</v>
      </c>
      <c r="Q164" s="405" t="s">
        <v>1533</v>
      </c>
      <c r="R164" s="407"/>
      <c r="S164" s="405"/>
      <c r="T164" s="405"/>
      <c r="U164" s="407"/>
      <c r="V164" s="408"/>
      <c r="W164" s="405"/>
      <c r="X164" s="406"/>
      <c r="Y164" s="379"/>
      <c r="Z164" s="379"/>
    </row>
    <row r="165" spans="1:26" ht="163.19999999999999">
      <c r="A165" s="400" t="s">
        <v>1529</v>
      </c>
      <c r="B165" s="401" t="s">
        <v>1536</v>
      </c>
      <c r="C165" s="402" t="s">
        <v>1537</v>
      </c>
      <c r="D165" s="403">
        <v>75</v>
      </c>
      <c r="E165" s="402">
        <v>70</v>
      </c>
      <c r="F165" s="402">
        <v>60</v>
      </c>
      <c r="G165" s="402">
        <v>30</v>
      </c>
      <c r="H165" s="402">
        <v>6</v>
      </c>
      <c r="I165" s="402">
        <v>2</v>
      </c>
      <c r="J165" s="402" t="s">
        <v>1137</v>
      </c>
      <c r="K165" s="402">
        <v>35</v>
      </c>
      <c r="L165" s="418" t="s">
        <v>1138</v>
      </c>
      <c r="M165" s="403" t="s">
        <v>420</v>
      </c>
      <c r="N165" s="402" t="s">
        <v>1139</v>
      </c>
      <c r="O165" s="401"/>
      <c r="P165" s="405" t="s">
        <v>1532</v>
      </c>
      <c r="Q165" s="405" t="s">
        <v>1533</v>
      </c>
      <c r="R165" s="407"/>
      <c r="S165" s="405"/>
      <c r="T165" s="405"/>
      <c r="U165" s="407"/>
      <c r="V165" s="408"/>
      <c r="W165" s="405"/>
      <c r="X165" s="406"/>
      <c r="Y165" s="379"/>
      <c r="Z165" s="379"/>
    </row>
    <row r="166" spans="1:26" s="385" customFormat="1" ht="51">
      <c r="A166" s="431" t="s">
        <v>1538</v>
      </c>
      <c r="B166" s="432" t="s">
        <v>1414</v>
      </c>
      <c r="C166" s="433" t="s">
        <v>1539</v>
      </c>
      <c r="D166" s="434" t="s">
        <v>404</v>
      </c>
      <c r="E166" s="433" t="s">
        <v>404</v>
      </c>
      <c r="F166" s="433" t="s">
        <v>404</v>
      </c>
      <c r="G166" s="433" t="s">
        <v>404</v>
      </c>
      <c r="H166" s="433">
        <v>10</v>
      </c>
      <c r="I166" s="433" t="s">
        <v>404</v>
      </c>
      <c r="J166" s="433" t="s">
        <v>1110</v>
      </c>
      <c r="K166" s="433">
        <v>35</v>
      </c>
      <c r="L166" s="433" t="s">
        <v>1111</v>
      </c>
      <c r="M166" s="434" t="s">
        <v>420</v>
      </c>
      <c r="N166" s="433" t="s">
        <v>1112</v>
      </c>
      <c r="O166" s="432"/>
      <c r="P166" s="435" t="s">
        <v>1540</v>
      </c>
      <c r="Q166" s="435"/>
      <c r="R166" s="436"/>
      <c r="S166" s="435"/>
      <c r="T166" s="435"/>
      <c r="U166" s="436"/>
      <c r="V166" s="437"/>
      <c r="W166" s="435"/>
      <c r="X166" s="438"/>
    </row>
    <row r="167" spans="1:26" s="385" customFormat="1" ht="51">
      <c r="A167" s="431" t="s">
        <v>1538</v>
      </c>
      <c r="B167" s="432" t="s">
        <v>1414</v>
      </c>
      <c r="C167" s="433" t="s">
        <v>1541</v>
      </c>
      <c r="D167" s="434">
        <v>75</v>
      </c>
      <c r="E167" s="433">
        <v>70</v>
      </c>
      <c r="F167" s="433">
        <v>60</v>
      </c>
      <c r="G167" s="433">
        <v>30</v>
      </c>
      <c r="H167" s="433">
        <v>12</v>
      </c>
      <c r="I167" s="433">
        <v>2</v>
      </c>
      <c r="J167" s="433" t="s">
        <v>1110</v>
      </c>
      <c r="K167" s="433">
        <v>35</v>
      </c>
      <c r="L167" s="433" t="s">
        <v>1542</v>
      </c>
      <c r="M167" s="434" t="s">
        <v>419</v>
      </c>
      <c r="N167" s="433" t="s">
        <v>1112</v>
      </c>
      <c r="O167" s="432"/>
      <c r="P167" s="435" t="s">
        <v>1540</v>
      </c>
      <c r="Q167" s="435"/>
      <c r="R167" s="436"/>
      <c r="S167" s="435"/>
      <c r="T167" s="435"/>
      <c r="U167" s="436"/>
      <c r="V167" s="437"/>
      <c r="W167" s="435"/>
      <c r="X167" s="438"/>
    </row>
    <row r="168" spans="1:26" s="385" customFormat="1" ht="51">
      <c r="A168" s="431" t="s">
        <v>1538</v>
      </c>
      <c r="B168" s="432" t="s">
        <v>1414</v>
      </c>
      <c r="C168" s="433" t="s">
        <v>1543</v>
      </c>
      <c r="D168" s="434" t="s">
        <v>404</v>
      </c>
      <c r="E168" s="433" t="s">
        <v>404</v>
      </c>
      <c r="F168" s="433" t="s">
        <v>404</v>
      </c>
      <c r="G168" s="433" t="s">
        <v>404</v>
      </c>
      <c r="H168" s="433">
        <v>10</v>
      </c>
      <c r="I168" s="433" t="s">
        <v>404</v>
      </c>
      <c r="J168" s="433" t="s">
        <v>1110</v>
      </c>
      <c r="K168" s="433">
        <v>40</v>
      </c>
      <c r="L168" s="433" t="s">
        <v>1542</v>
      </c>
      <c r="M168" s="434" t="s">
        <v>420</v>
      </c>
      <c r="N168" s="433" t="s">
        <v>1112</v>
      </c>
      <c r="O168" s="432"/>
      <c r="P168" s="435" t="s">
        <v>1540</v>
      </c>
      <c r="Q168" s="435"/>
      <c r="R168" s="436"/>
      <c r="S168" s="435"/>
      <c r="T168" s="435"/>
      <c r="U168" s="436"/>
      <c r="V168" s="437"/>
      <c r="W168" s="435"/>
      <c r="X168" s="438"/>
    </row>
    <row r="169" spans="1:26" s="385" customFormat="1" ht="51">
      <c r="A169" s="431" t="s">
        <v>1538</v>
      </c>
      <c r="B169" s="432" t="s">
        <v>1414</v>
      </c>
      <c r="C169" s="433" t="s">
        <v>1544</v>
      </c>
      <c r="D169" s="434" t="s">
        <v>404</v>
      </c>
      <c r="E169" s="433" t="s">
        <v>404</v>
      </c>
      <c r="F169" s="433" t="s">
        <v>404</v>
      </c>
      <c r="G169" s="433" t="s">
        <v>404</v>
      </c>
      <c r="H169" s="433">
        <v>10</v>
      </c>
      <c r="I169" s="433" t="s">
        <v>404</v>
      </c>
      <c r="J169" s="433" t="s">
        <v>1137</v>
      </c>
      <c r="K169" s="433">
        <v>35</v>
      </c>
      <c r="L169" s="433" t="s">
        <v>1343</v>
      </c>
      <c r="M169" s="434" t="s">
        <v>420</v>
      </c>
      <c r="N169" s="433" t="s">
        <v>1112</v>
      </c>
      <c r="O169" s="432"/>
      <c r="P169" s="435" t="s">
        <v>1540</v>
      </c>
      <c r="Q169" s="435"/>
      <c r="R169" s="436"/>
      <c r="S169" s="435"/>
      <c r="T169" s="435"/>
      <c r="U169" s="436"/>
      <c r="V169" s="437"/>
      <c r="W169" s="435"/>
      <c r="X169" s="438"/>
    </row>
    <row r="170" spans="1:26" s="385" customFormat="1" ht="51">
      <c r="A170" s="431" t="s">
        <v>1538</v>
      </c>
      <c r="B170" s="432" t="s">
        <v>1414</v>
      </c>
      <c r="C170" s="433" t="s">
        <v>1545</v>
      </c>
      <c r="D170" s="434">
        <v>75</v>
      </c>
      <c r="E170" s="433">
        <v>70</v>
      </c>
      <c r="F170" s="433">
        <v>60</v>
      </c>
      <c r="G170" s="433">
        <v>30</v>
      </c>
      <c r="H170" s="433">
        <v>12</v>
      </c>
      <c r="I170" s="433">
        <v>2</v>
      </c>
      <c r="J170" s="433" t="s">
        <v>1137</v>
      </c>
      <c r="K170" s="433">
        <v>35</v>
      </c>
      <c r="L170" s="433" t="s">
        <v>1546</v>
      </c>
      <c r="M170" s="434" t="s">
        <v>419</v>
      </c>
      <c r="N170" s="433" t="s">
        <v>1112</v>
      </c>
      <c r="O170" s="432"/>
      <c r="P170" s="435" t="s">
        <v>1540</v>
      </c>
      <c r="Q170" s="435"/>
      <c r="R170" s="436"/>
      <c r="S170" s="435"/>
      <c r="T170" s="435"/>
      <c r="U170" s="436"/>
      <c r="V170" s="437"/>
      <c r="W170" s="435"/>
      <c r="X170" s="438"/>
    </row>
    <row r="171" spans="1:26" s="385" customFormat="1" ht="51">
      <c r="A171" s="431" t="s">
        <v>1538</v>
      </c>
      <c r="B171" s="432" t="s">
        <v>1414</v>
      </c>
      <c r="C171" s="433" t="s">
        <v>1547</v>
      </c>
      <c r="D171" s="434" t="s">
        <v>404</v>
      </c>
      <c r="E171" s="433" t="s">
        <v>404</v>
      </c>
      <c r="F171" s="433" t="s">
        <v>404</v>
      </c>
      <c r="G171" s="433" t="s">
        <v>404</v>
      </c>
      <c r="H171" s="433">
        <v>10</v>
      </c>
      <c r="I171" s="433" t="s">
        <v>404</v>
      </c>
      <c r="J171" s="433" t="s">
        <v>1123</v>
      </c>
      <c r="K171" s="433">
        <v>40</v>
      </c>
      <c r="L171" s="433" t="s">
        <v>1542</v>
      </c>
      <c r="M171" s="434" t="s">
        <v>420</v>
      </c>
      <c r="N171" s="433" t="s">
        <v>1112</v>
      </c>
      <c r="O171" s="432"/>
      <c r="P171" s="435" t="s">
        <v>1540</v>
      </c>
      <c r="Q171" s="435"/>
      <c r="R171" s="436"/>
      <c r="S171" s="435"/>
      <c r="T171" s="435"/>
      <c r="U171" s="436"/>
      <c r="V171" s="437"/>
      <c r="W171" s="435"/>
      <c r="X171" s="438"/>
    </row>
    <row r="172" spans="1:26" s="385" customFormat="1" ht="51">
      <c r="A172" s="431" t="s">
        <v>1538</v>
      </c>
      <c r="B172" s="432" t="s">
        <v>1414</v>
      </c>
      <c r="C172" s="433" t="s">
        <v>1548</v>
      </c>
      <c r="D172" s="434">
        <v>75</v>
      </c>
      <c r="E172" s="433">
        <v>70</v>
      </c>
      <c r="F172" s="433">
        <v>60</v>
      </c>
      <c r="G172" s="433">
        <v>30</v>
      </c>
      <c r="H172" s="433">
        <v>15</v>
      </c>
      <c r="I172" s="433">
        <v>3</v>
      </c>
      <c r="J172" s="433" t="s">
        <v>1137</v>
      </c>
      <c r="K172" s="433">
        <v>35</v>
      </c>
      <c r="L172" s="433" t="s">
        <v>1343</v>
      </c>
      <c r="M172" s="434" t="s">
        <v>419</v>
      </c>
      <c r="N172" s="433" t="s">
        <v>1112</v>
      </c>
      <c r="O172" s="432"/>
      <c r="P172" s="435" t="s">
        <v>1549</v>
      </c>
      <c r="Q172" s="435"/>
      <c r="R172" s="436"/>
      <c r="S172" s="435"/>
      <c r="T172" s="435"/>
      <c r="U172" s="436"/>
      <c r="V172" s="437"/>
      <c r="W172" s="435"/>
      <c r="X172" s="438"/>
    </row>
    <row r="173" spans="1:26" s="385" customFormat="1">
      <c r="A173" s="431" t="s">
        <v>1538</v>
      </c>
      <c r="B173" s="432" t="s">
        <v>1414</v>
      </c>
      <c r="C173" s="433" t="s">
        <v>1550</v>
      </c>
      <c r="D173" s="434">
        <v>75</v>
      </c>
      <c r="E173" s="433">
        <v>70</v>
      </c>
      <c r="F173" s="433">
        <v>60</v>
      </c>
      <c r="G173" s="433">
        <v>30</v>
      </c>
      <c r="H173" s="433">
        <v>6</v>
      </c>
      <c r="I173" s="433">
        <v>2</v>
      </c>
      <c r="J173" s="433" t="s">
        <v>1137</v>
      </c>
      <c r="K173" s="433">
        <v>35</v>
      </c>
      <c r="L173" s="433" t="s">
        <v>1227</v>
      </c>
      <c r="M173" s="434" t="s">
        <v>420</v>
      </c>
      <c r="N173" s="433" t="s">
        <v>1139</v>
      </c>
      <c r="O173" s="432"/>
      <c r="P173" s="435"/>
      <c r="Q173" s="435"/>
      <c r="R173" s="436"/>
      <c r="S173" s="435"/>
      <c r="T173" s="435"/>
      <c r="U173" s="436"/>
      <c r="V173" s="437"/>
      <c r="W173" s="435"/>
      <c r="X173" s="438"/>
    </row>
    <row r="174" spans="1:26" s="385" customFormat="1" ht="81.599999999999994">
      <c r="A174" s="431" t="s">
        <v>1538</v>
      </c>
      <c r="B174" s="432" t="s">
        <v>1414</v>
      </c>
      <c r="C174" s="433" t="s">
        <v>1551</v>
      </c>
      <c r="D174" s="434">
        <v>75</v>
      </c>
      <c r="E174" s="433">
        <v>70</v>
      </c>
      <c r="F174" s="433">
        <v>60</v>
      </c>
      <c r="G174" s="433">
        <v>30</v>
      </c>
      <c r="H174" s="433">
        <v>6</v>
      </c>
      <c r="I174" s="433">
        <v>2</v>
      </c>
      <c r="J174" s="433" t="s">
        <v>1123</v>
      </c>
      <c r="K174" s="433">
        <v>35</v>
      </c>
      <c r="L174" s="433" t="s">
        <v>1111</v>
      </c>
      <c r="M174" s="434" t="s">
        <v>419</v>
      </c>
      <c r="N174" s="433" t="s">
        <v>1112</v>
      </c>
      <c r="O174" s="432"/>
      <c r="P174" s="435" t="s">
        <v>1552</v>
      </c>
      <c r="Q174" s="435" t="s">
        <v>1553</v>
      </c>
      <c r="R174" s="436" t="s">
        <v>1554</v>
      </c>
      <c r="S174" s="435" t="s">
        <v>1555</v>
      </c>
      <c r="T174" s="435" t="s">
        <v>1556</v>
      </c>
      <c r="U174" s="436"/>
      <c r="V174" s="437"/>
      <c r="W174" s="435"/>
      <c r="X174" s="438"/>
    </row>
    <row r="175" spans="1:26" s="385" customFormat="1">
      <c r="A175" s="431" t="s">
        <v>1538</v>
      </c>
      <c r="B175" s="432" t="s">
        <v>1414</v>
      </c>
      <c r="C175" s="433" t="s">
        <v>1557</v>
      </c>
      <c r="D175" s="434">
        <v>75</v>
      </c>
      <c r="E175" s="433">
        <v>70</v>
      </c>
      <c r="F175" s="433">
        <v>60</v>
      </c>
      <c r="G175" s="433">
        <v>30</v>
      </c>
      <c r="H175" s="433">
        <v>12</v>
      </c>
      <c r="I175" s="433">
        <v>2</v>
      </c>
      <c r="J175" s="433" t="s">
        <v>1123</v>
      </c>
      <c r="K175" s="433">
        <v>35</v>
      </c>
      <c r="L175" s="433" t="s">
        <v>1111</v>
      </c>
      <c r="M175" s="434" t="s">
        <v>1558</v>
      </c>
      <c r="N175" s="433" t="s">
        <v>1112</v>
      </c>
      <c r="O175" s="432"/>
      <c r="P175" s="435"/>
      <c r="Q175" s="435"/>
      <c r="R175" s="436"/>
      <c r="S175" s="435"/>
      <c r="T175" s="435"/>
      <c r="U175" s="436"/>
      <c r="V175" s="437"/>
      <c r="W175" s="435"/>
      <c r="X175" s="438"/>
    </row>
    <row r="176" spans="1:26" s="385" customFormat="1" ht="153">
      <c r="A176" s="431" t="s">
        <v>1538</v>
      </c>
      <c r="B176" s="432" t="s">
        <v>1414</v>
      </c>
      <c r="C176" s="433" t="s">
        <v>1559</v>
      </c>
      <c r="D176" s="434">
        <v>75</v>
      </c>
      <c r="E176" s="433">
        <v>70</v>
      </c>
      <c r="F176" s="433">
        <v>65</v>
      </c>
      <c r="G176" s="433">
        <v>30</v>
      </c>
      <c r="H176" s="433">
        <v>12</v>
      </c>
      <c r="I176" s="433">
        <v>2</v>
      </c>
      <c r="J176" s="433" t="s">
        <v>1123</v>
      </c>
      <c r="K176" s="433">
        <v>35</v>
      </c>
      <c r="L176" s="433" t="s">
        <v>1111</v>
      </c>
      <c r="M176" s="434" t="s">
        <v>1558</v>
      </c>
      <c r="N176" s="433" t="s">
        <v>1112</v>
      </c>
      <c r="O176" s="432"/>
      <c r="P176" s="435" t="s">
        <v>1560</v>
      </c>
      <c r="Q176" s="435" t="s">
        <v>1561</v>
      </c>
      <c r="R176" s="436"/>
      <c r="S176" s="435"/>
      <c r="T176" s="435"/>
      <c r="U176" s="436"/>
      <c r="V176" s="437"/>
      <c r="W176" s="435"/>
      <c r="X176" s="438"/>
    </row>
    <row r="177" spans="1:24" s="385" customFormat="1" ht="153">
      <c r="A177" s="431" t="s">
        <v>1538</v>
      </c>
      <c r="B177" s="432" t="s">
        <v>1414</v>
      </c>
      <c r="C177" s="433" t="s">
        <v>1562</v>
      </c>
      <c r="D177" s="434">
        <v>75</v>
      </c>
      <c r="E177" s="433">
        <v>70</v>
      </c>
      <c r="F177" s="433">
        <v>65</v>
      </c>
      <c r="G177" s="433">
        <v>30</v>
      </c>
      <c r="H177" s="433">
        <v>12</v>
      </c>
      <c r="I177" s="433">
        <v>2</v>
      </c>
      <c r="J177" s="433" t="s">
        <v>1123</v>
      </c>
      <c r="K177" s="433">
        <v>35</v>
      </c>
      <c r="L177" s="433" t="s">
        <v>1111</v>
      </c>
      <c r="M177" s="434" t="s">
        <v>1558</v>
      </c>
      <c r="N177" s="433" t="s">
        <v>1112</v>
      </c>
      <c r="O177" s="432"/>
      <c r="P177" s="435" t="s">
        <v>1563</v>
      </c>
      <c r="Q177" s="435" t="s">
        <v>1561</v>
      </c>
      <c r="R177" s="436"/>
      <c r="S177" s="435"/>
      <c r="T177" s="435"/>
      <c r="U177" s="436"/>
      <c r="V177" s="437"/>
      <c r="W177" s="435"/>
      <c r="X177" s="438"/>
    </row>
    <row r="178" spans="1:24" s="385" customFormat="1">
      <c r="A178" s="431" t="s">
        <v>1538</v>
      </c>
      <c r="B178" s="432" t="s">
        <v>1414</v>
      </c>
      <c r="C178" s="433" t="s">
        <v>1564</v>
      </c>
      <c r="D178" s="434" t="s">
        <v>404</v>
      </c>
      <c r="E178" s="433" t="s">
        <v>404</v>
      </c>
      <c r="F178" s="433" t="s">
        <v>404</v>
      </c>
      <c r="G178" s="433" t="s">
        <v>404</v>
      </c>
      <c r="H178" s="433">
        <v>4</v>
      </c>
      <c r="I178" s="433" t="s">
        <v>404</v>
      </c>
      <c r="J178" s="433" t="s">
        <v>1137</v>
      </c>
      <c r="K178" s="433">
        <v>35</v>
      </c>
      <c r="L178" s="433" t="s">
        <v>1227</v>
      </c>
      <c r="M178" s="434" t="s">
        <v>420</v>
      </c>
      <c r="N178" s="433" t="s">
        <v>1139</v>
      </c>
      <c r="O178" s="432"/>
      <c r="P178" s="435"/>
      <c r="Q178" s="435"/>
      <c r="R178" s="436"/>
      <c r="S178" s="435"/>
      <c r="T178" s="435"/>
      <c r="U178" s="436"/>
      <c r="V178" s="437"/>
      <c r="W178" s="435"/>
      <c r="X178" s="438"/>
    </row>
    <row r="179" spans="1:24" s="385" customFormat="1">
      <c r="A179" s="431" t="s">
        <v>1538</v>
      </c>
      <c r="B179" s="432" t="s">
        <v>1414</v>
      </c>
      <c r="C179" s="433" t="s">
        <v>1565</v>
      </c>
      <c r="D179" s="434">
        <v>75</v>
      </c>
      <c r="E179" s="433">
        <v>70</v>
      </c>
      <c r="F179" s="433">
        <v>65</v>
      </c>
      <c r="G179" s="433">
        <v>30</v>
      </c>
      <c r="H179" s="433">
        <v>4</v>
      </c>
      <c r="I179" s="433">
        <v>2</v>
      </c>
      <c r="J179" s="433" t="s">
        <v>1137</v>
      </c>
      <c r="K179" s="433">
        <v>35</v>
      </c>
      <c r="L179" s="433" t="s">
        <v>1227</v>
      </c>
      <c r="M179" s="434" t="s">
        <v>419</v>
      </c>
      <c r="N179" s="433" t="s">
        <v>1139</v>
      </c>
      <c r="O179" s="432"/>
      <c r="P179" s="435"/>
      <c r="Q179" s="435"/>
      <c r="R179" s="436"/>
      <c r="S179" s="435"/>
      <c r="T179" s="435"/>
      <c r="U179" s="436"/>
      <c r="V179" s="437"/>
      <c r="W179" s="435"/>
      <c r="X179" s="438"/>
    </row>
    <row r="180" spans="1:24" s="385" customFormat="1">
      <c r="A180" s="431" t="s">
        <v>1538</v>
      </c>
      <c r="B180" s="432" t="s">
        <v>1414</v>
      </c>
      <c r="C180" s="433" t="s">
        <v>1566</v>
      </c>
      <c r="D180" s="434">
        <v>75</v>
      </c>
      <c r="E180" s="433">
        <v>70</v>
      </c>
      <c r="F180" s="433">
        <v>65</v>
      </c>
      <c r="G180" s="433">
        <v>30</v>
      </c>
      <c r="H180" s="433">
        <v>4</v>
      </c>
      <c r="I180" s="433">
        <v>2</v>
      </c>
      <c r="J180" s="433" t="s">
        <v>1137</v>
      </c>
      <c r="K180" s="433">
        <v>35</v>
      </c>
      <c r="L180" s="433" t="s">
        <v>1227</v>
      </c>
      <c r="M180" s="434" t="s">
        <v>419</v>
      </c>
      <c r="N180" s="433" t="s">
        <v>1139</v>
      </c>
      <c r="O180" s="432"/>
      <c r="P180" s="437"/>
      <c r="Q180" s="435"/>
      <c r="R180" s="436"/>
      <c r="S180" s="435"/>
      <c r="T180" s="435"/>
      <c r="U180" s="436"/>
      <c r="V180" s="437"/>
      <c r="W180" s="435"/>
      <c r="X180" s="438"/>
    </row>
    <row r="181" spans="1:24" s="385" customFormat="1" ht="20.399999999999999">
      <c r="A181" s="431" t="s">
        <v>1538</v>
      </c>
      <c r="B181" s="432" t="s">
        <v>1414</v>
      </c>
      <c r="C181" s="433" t="s">
        <v>1567</v>
      </c>
      <c r="D181" s="434">
        <v>75</v>
      </c>
      <c r="E181" s="433">
        <v>70</v>
      </c>
      <c r="F181" s="433">
        <v>65</v>
      </c>
      <c r="G181" s="433">
        <v>30</v>
      </c>
      <c r="H181" s="433">
        <v>4</v>
      </c>
      <c r="I181" s="433">
        <v>2</v>
      </c>
      <c r="J181" s="433" t="s">
        <v>1137</v>
      </c>
      <c r="K181" s="433">
        <v>35</v>
      </c>
      <c r="L181" s="433" t="s">
        <v>1227</v>
      </c>
      <c r="M181" s="434" t="s">
        <v>419</v>
      </c>
      <c r="N181" s="433" t="s">
        <v>1139</v>
      </c>
      <c r="O181" s="432"/>
      <c r="P181" s="435" t="s">
        <v>1568</v>
      </c>
      <c r="Q181" s="435"/>
      <c r="R181" s="436"/>
      <c r="S181" s="435"/>
      <c r="T181" s="435"/>
      <c r="U181" s="436"/>
      <c r="V181" s="437"/>
      <c r="W181" s="435"/>
      <c r="X181" s="438"/>
    </row>
    <row r="182" spans="1:24" s="385" customFormat="1">
      <c r="A182" s="431" t="s">
        <v>1538</v>
      </c>
      <c r="B182" s="432" t="s">
        <v>1414</v>
      </c>
      <c r="C182" s="433" t="s">
        <v>1569</v>
      </c>
      <c r="D182" s="434">
        <v>75</v>
      </c>
      <c r="E182" s="433">
        <v>70</v>
      </c>
      <c r="F182" s="433">
        <v>60</v>
      </c>
      <c r="G182" s="433">
        <v>30</v>
      </c>
      <c r="H182" s="433">
        <v>4</v>
      </c>
      <c r="I182" s="433">
        <v>2</v>
      </c>
      <c r="J182" s="433" t="s">
        <v>1137</v>
      </c>
      <c r="K182" s="433">
        <v>35</v>
      </c>
      <c r="L182" s="433" t="s">
        <v>1227</v>
      </c>
      <c r="M182" s="434" t="s">
        <v>419</v>
      </c>
      <c r="N182" s="433" t="s">
        <v>1139</v>
      </c>
      <c r="O182" s="432"/>
      <c r="P182" s="435"/>
      <c r="Q182" s="435"/>
      <c r="R182" s="436"/>
      <c r="S182" s="435"/>
      <c r="T182" s="435"/>
      <c r="U182" s="436"/>
      <c r="V182" s="437"/>
      <c r="W182" s="435"/>
      <c r="X182" s="438"/>
    </row>
    <row r="183" spans="1:24" s="385" customFormat="1">
      <c r="A183" s="431" t="s">
        <v>1538</v>
      </c>
      <c r="B183" s="432" t="s">
        <v>1414</v>
      </c>
      <c r="C183" s="433" t="s">
        <v>1570</v>
      </c>
      <c r="D183" s="434">
        <v>75</v>
      </c>
      <c r="E183" s="433">
        <v>70</v>
      </c>
      <c r="F183" s="433">
        <v>60</v>
      </c>
      <c r="G183" s="433">
        <v>30</v>
      </c>
      <c r="H183" s="433">
        <v>4</v>
      </c>
      <c r="I183" s="433">
        <v>2</v>
      </c>
      <c r="J183" s="433" t="s">
        <v>1137</v>
      </c>
      <c r="K183" s="433">
        <v>40</v>
      </c>
      <c r="L183" s="433" t="s">
        <v>1227</v>
      </c>
      <c r="M183" s="434" t="s">
        <v>420</v>
      </c>
      <c r="N183" s="433" t="s">
        <v>1139</v>
      </c>
      <c r="O183" s="432"/>
      <c r="P183" s="435"/>
      <c r="Q183" s="435"/>
      <c r="R183" s="436"/>
      <c r="S183" s="435"/>
      <c r="T183" s="435"/>
      <c r="U183" s="436"/>
      <c r="V183" s="437"/>
      <c r="W183" s="435"/>
      <c r="X183" s="438"/>
    </row>
    <row r="184" spans="1:24" s="385" customFormat="1">
      <c r="A184" s="431" t="s">
        <v>1538</v>
      </c>
      <c r="B184" s="432" t="s">
        <v>1414</v>
      </c>
      <c r="C184" s="433" t="s">
        <v>1565</v>
      </c>
      <c r="D184" s="434">
        <v>75</v>
      </c>
      <c r="E184" s="433">
        <v>70</v>
      </c>
      <c r="F184" s="433">
        <v>60</v>
      </c>
      <c r="G184" s="433">
        <v>30</v>
      </c>
      <c r="H184" s="433">
        <v>4</v>
      </c>
      <c r="I184" s="433">
        <v>2</v>
      </c>
      <c r="J184" s="433" t="s">
        <v>1137</v>
      </c>
      <c r="K184" s="433">
        <v>40</v>
      </c>
      <c r="L184" s="433" t="s">
        <v>1227</v>
      </c>
      <c r="M184" s="434" t="s">
        <v>420</v>
      </c>
      <c r="N184" s="433" t="s">
        <v>1139</v>
      </c>
      <c r="O184" s="432"/>
      <c r="P184" s="435"/>
      <c r="Q184" s="435"/>
      <c r="R184" s="436"/>
      <c r="S184" s="435"/>
      <c r="T184" s="435"/>
      <c r="U184" s="436"/>
      <c r="V184" s="437"/>
      <c r="W184" s="435"/>
      <c r="X184" s="438"/>
    </row>
    <row r="185" spans="1:24" s="385" customFormat="1">
      <c r="A185" s="431" t="s">
        <v>1538</v>
      </c>
      <c r="B185" s="432" t="s">
        <v>1414</v>
      </c>
      <c r="C185" s="433" t="s">
        <v>1571</v>
      </c>
      <c r="D185" s="434">
        <v>75</v>
      </c>
      <c r="E185" s="433">
        <v>70</v>
      </c>
      <c r="F185" s="433">
        <v>60</v>
      </c>
      <c r="G185" s="433">
        <v>30</v>
      </c>
      <c r="H185" s="433">
        <v>4</v>
      </c>
      <c r="I185" s="433">
        <v>2</v>
      </c>
      <c r="J185" s="433" t="s">
        <v>1137</v>
      </c>
      <c r="K185" s="433">
        <v>40</v>
      </c>
      <c r="L185" s="433" t="s">
        <v>1227</v>
      </c>
      <c r="M185" s="434" t="s">
        <v>420</v>
      </c>
      <c r="N185" s="433" t="s">
        <v>1139</v>
      </c>
      <c r="O185" s="432"/>
      <c r="P185" s="435"/>
      <c r="Q185" s="435"/>
      <c r="R185" s="436"/>
      <c r="S185" s="435"/>
      <c r="T185" s="435"/>
      <c r="U185" s="436"/>
      <c r="V185" s="437"/>
      <c r="W185" s="435"/>
      <c r="X185" s="438"/>
    </row>
    <row r="186" spans="1:24" s="385" customFormat="1">
      <c r="A186" s="431" t="s">
        <v>1538</v>
      </c>
      <c r="B186" s="432" t="s">
        <v>1414</v>
      </c>
      <c r="C186" s="433" t="s">
        <v>1572</v>
      </c>
      <c r="D186" s="434">
        <v>75</v>
      </c>
      <c r="E186" s="433">
        <v>70</v>
      </c>
      <c r="F186" s="433">
        <v>60</v>
      </c>
      <c r="G186" s="433">
        <v>30</v>
      </c>
      <c r="H186" s="433">
        <v>4</v>
      </c>
      <c r="I186" s="433">
        <v>2</v>
      </c>
      <c r="J186" s="433" t="s">
        <v>1137</v>
      </c>
      <c r="K186" s="433">
        <v>40</v>
      </c>
      <c r="L186" s="433" t="s">
        <v>1227</v>
      </c>
      <c r="M186" s="434" t="s">
        <v>420</v>
      </c>
      <c r="N186" s="433" t="s">
        <v>1139</v>
      </c>
      <c r="O186" s="432"/>
      <c r="P186" s="435"/>
      <c r="Q186" s="435"/>
      <c r="R186" s="436"/>
      <c r="S186" s="435"/>
      <c r="T186" s="435"/>
      <c r="U186" s="436"/>
      <c r="V186" s="437"/>
      <c r="W186" s="435"/>
      <c r="X186" s="438"/>
    </row>
    <row r="187" spans="1:24" s="385" customFormat="1">
      <c r="A187" s="431" t="s">
        <v>1538</v>
      </c>
      <c r="B187" s="432" t="s">
        <v>1414</v>
      </c>
      <c r="C187" s="433" t="s">
        <v>1573</v>
      </c>
      <c r="D187" s="434">
        <v>75</v>
      </c>
      <c r="E187" s="433">
        <v>70</v>
      </c>
      <c r="F187" s="433">
        <v>60</v>
      </c>
      <c r="G187" s="433">
        <v>30</v>
      </c>
      <c r="H187" s="433">
        <v>6</v>
      </c>
      <c r="I187" s="433">
        <v>2</v>
      </c>
      <c r="J187" s="433" t="s">
        <v>1137</v>
      </c>
      <c r="K187" s="433">
        <v>35</v>
      </c>
      <c r="L187" s="433" t="s">
        <v>1227</v>
      </c>
      <c r="M187" s="434" t="s">
        <v>419</v>
      </c>
      <c r="N187" s="433" t="s">
        <v>1139</v>
      </c>
      <c r="O187" s="432"/>
      <c r="P187" s="435"/>
      <c r="Q187" s="435"/>
      <c r="R187" s="436"/>
      <c r="S187" s="435"/>
      <c r="T187" s="435"/>
      <c r="U187" s="436"/>
      <c r="V187" s="437"/>
      <c r="W187" s="435"/>
      <c r="X187" s="438"/>
    </row>
    <row r="188" spans="1:24" s="385" customFormat="1" ht="20.399999999999999">
      <c r="A188" s="431" t="s">
        <v>1538</v>
      </c>
      <c r="B188" s="432" t="s">
        <v>1414</v>
      </c>
      <c r="C188" s="433" t="s">
        <v>1574</v>
      </c>
      <c r="D188" s="434">
        <v>75</v>
      </c>
      <c r="E188" s="433">
        <v>70</v>
      </c>
      <c r="F188" s="433">
        <v>60</v>
      </c>
      <c r="G188" s="433">
        <v>30</v>
      </c>
      <c r="H188" s="433">
        <v>4</v>
      </c>
      <c r="I188" s="433">
        <v>2</v>
      </c>
      <c r="J188" s="433" t="s">
        <v>1137</v>
      </c>
      <c r="K188" s="433">
        <v>40</v>
      </c>
      <c r="L188" s="433" t="s">
        <v>1227</v>
      </c>
      <c r="M188" s="434" t="s">
        <v>419</v>
      </c>
      <c r="N188" s="433" t="s">
        <v>1139</v>
      </c>
      <c r="O188" s="432"/>
      <c r="P188" s="435" t="s">
        <v>1568</v>
      </c>
      <c r="Q188" s="435"/>
      <c r="R188" s="436"/>
      <c r="S188" s="435"/>
      <c r="T188" s="435"/>
      <c r="U188" s="436"/>
      <c r="V188" s="437"/>
      <c r="W188" s="435"/>
      <c r="X188" s="438"/>
    </row>
    <row r="189" spans="1:24" s="385" customFormat="1">
      <c r="A189" s="431" t="s">
        <v>1538</v>
      </c>
      <c r="B189" s="432" t="s">
        <v>1414</v>
      </c>
      <c r="C189" s="433" t="s">
        <v>1575</v>
      </c>
      <c r="D189" s="434">
        <v>75</v>
      </c>
      <c r="E189" s="433">
        <v>70</v>
      </c>
      <c r="F189" s="433">
        <v>60</v>
      </c>
      <c r="G189" s="433">
        <v>30</v>
      </c>
      <c r="H189" s="433">
        <v>4</v>
      </c>
      <c r="I189" s="433">
        <v>2</v>
      </c>
      <c r="J189" s="433" t="s">
        <v>1137</v>
      </c>
      <c r="K189" s="433">
        <v>40</v>
      </c>
      <c r="L189" s="433" t="s">
        <v>1227</v>
      </c>
      <c r="M189" s="434" t="s">
        <v>419</v>
      </c>
      <c r="N189" s="433" t="s">
        <v>1139</v>
      </c>
      <c r="O189" s="432"/>
      <c r="P189" s="435"/>
      <c r="Q189" s="435"/>
      <c r="R189" s="436"/>
      <c r="S189" s="435"/>
      <c r="T189" s="435"/>
      <c r="U189" s="436"/>
      <c r="V189" s="437"/>
      <c r="W189" s="435"/>
      <c r="X189" s="438"/>
    </row>
    <row r="190" spans="1:24" s="385" customFormat="1">
      <c r="A190" s="431" t="s">
        <v>1538</v>
      </c>
      <c r="B190" s="432" t="s">
        <v>1414</v>
      </c>
      <c r="C190" s="433" t="s">
        <v>1576</v>
      </c>
      <c r="D190" s="434">
        <v>75</v>
      </c>
      <c r="E190" s="433">
        <v>70</v>
      </c>
      <c r="F190" s="433">
        <v>60</v>
      </c>
      <c r="G190" s="433">
        <v>30</v>
      </c>
      <c r="H190" s="433">
        <v>4</v>
      </c>
      <c r="I190" s="433">
        <v>2</v>
      </c>
      <c r="J190" s="433" t="s">
        <v>1137</v>
      </c>
      <c r="K190" s="433">
        <v>40</v>
      </c>
      <c r="L190" s="433" t="s">
        <v>1227</v>
      </c>
      <c r="M190" s="434" t="s">
        <v>420</v>
      </c>
      <c r="N190" s="433" t="s">
        <v>1139</v>
      </c>
      <c r="O190" s="432"/>
      <c r="P190" s="435"/>
      <c r="Q190" s="435"/>
      <c r="R190" s="436"/>
      <c r="S190" s="435"/>
      <c r="T190" s="435"/>
      <c r="U190" s="436"/>
      <c r="V190" s="437"/>
      <c r="W190" s="435"/>
      <c r="X190" s="438"/>
    </row>
    <row r="191" spans="1:24" s="385" customFormat="1">
      <c r="A191" s="431" t="s">
        <v>1538</v>
      </c>
      <c r="B191" s="432" t="s">
        <v>1414</v>
      </c>
      <c r="C191" s="433" t="s">
        <v>1577</v>
      </c>
      <c r="D191" s="434">
        <v>75</v>
      </c>
      <c r="E191" s="433">
        <v>70</v>
      </c>
      <c r="F191" s="433">
        <v>60</v>
      </c>
      <c r="G191" s="433">
        <v>30</v>
      </c>
      <c r="H191" s="433">
        <v>4</v>
      </c>
      <c r="I191" s="433">
        <v>2</v>
      </c>
      <c r="J191" s="433" t="s">
        <v>1137</v>
      </c>
      <c r="K191" s="433">
        <v>35</v>
      </c>
      <c r="L191" s="433" t="s">
        <v>1227</v>
      </c>
      <c r="M191" s="434" t="s">
        <v>419</v>
      </c>
      <c r="N191" s="433" t="s">
        <v>1139</v>
      </c>
      <c r="O191" s="432"/>
      <c r="P191" s="435"/>
      <c r="Q191" s="435"/>
      <c r="R191" s="436"/>
      <c r="S191" s="435"/>
      <c r="T191" s="435"/>
      <c r="U191" s="436"/>
      <c r="V191" s="437"/>
      <c r="W191" s="435"/>
      <c r="X191" s="438"/>
    </row>
    <row r="192" spans="1:24" s="385" customFormat="1">
      <c r="A192" s="431" t="s">
        <v>1538</v>
      </c>
      <c r="B192" s="432" t="s">
        <v>1414</v>
      </c>
      <c r="C192" s="433" t="s">
        <v>1578</v>
      </c>
      <c r="D192" s="434">
        <v>75</v>
      </c>
      <c r="E192" s="433">
        <v>70</v>
      </c>
      <c r="F192" s="433">
        <v>60</v>
      </c>
      <c r="G192" s="433">
        <v>30</v>
      </c>
      <c r="H192" s="433">
        <v>4</v>
      </c>
      <c r="I192" s="433">
        <v>2</v>
      </c>
      <c r="J192" s="433" t="s">
        <v>1137</v>
      </c>
      <c r="K192" s="433">
        <v>35</v>
      </c>
      <c r="L192" s="433" t="s">
        <v>1227</v>
      </c>
      <c r="M192" s="434" t="s">
        <v>420</v>
      </c>
      <c r="N192" s="433" t="s">
        <v>1139</v>
      </c>
      <c r="O192" s="432"/>
      <c r="P192" s="435"/>
      <c r="Q192" s="435"/>
      <c r="R192" s="436"/>
      <c r="S192" s="435"/>
      <c r="T192" s="435"/>
      <c r="U192" s="436"/>
      <c r="V192" s="437"/>
      <c r="W192" s="435"/>
      <c r="X192" s="438"/>
    </row>
    <row r="193" spans="1:24" s="385" customFormat="1">
      <c r="A193" s="431" t="s">
        <v>1538</v>
      </c>
      <c r="B193" s="432" t="s">
        <v>1414</v>
      </c>
      <c r="C193" s="433" t="s">
        <v>1579</v>
      </c>
      <c r="D193" s="434">
        <v>75</v>
      </c>
      <c r="E193" s="433">
        <v>70</v>
      </c>
      <c r="F193" s="433">
        <v>60</v>
      </c>
      <c r="G193" s="433">
        <v>30</v>
      </c>
      <c r="H193" s="433">
        <v>4</v>
      </c>
      <c r="I193" s="433">
        <v>2</v>
      </c>
      <c r="J193" s="433" t="s">
        <v>1137</v>
      </c>
      <c r="K193" s="433">
        <v>35</v>
      </c>
      <c r="L193" s="433" t="s">
        <v>1227</v>
      </c>
      <c r="M193" s="434" t="s">
        <v>419</v>
      </c>
      <c r="N193" s="433" t="s">
        <v>1139</v>
      </c>
      <c r="O193" s="432"/>
      <c r="P193" s="435"/>
      <c r="Q193" s="435"/>
      <c r="R193" s="436"/>
      <c r="S193" s="435"/>
      <c r="T193" s="435"/>
      <c r="U193" s="436"/>
      <c r="V193" s="437"/>
      <c r="W193" s="435"/>
      <c r="X193" s="438"/>
    </row>
    <row r="194" spans="1:24" s="385" customFormat="1">
      <c r="A194" s="431" t="s">
        <v>1538</v>
      </c>
      <c r="B194" s="432" t="s">
        <v>1414</v>
      </c>
      <c r="C194" s="433" t="s">
        <v>1580</v>
      </c>
      <c r="D194" s="434">
        <v>75</v>
      </c>
      <c r="E194" s="433">
        <v>70</v>
      </c>
      <c r="F194" s="433">
        <v>60</v>
      </c>
      <c r="G194" s="433">
        <v>30</v>
      </c>
      <c r="H194" s="433">
        <v>4</v>
      </c>
      <c r="I194" s="433">
        <v>2</v>
      </c>
      <c r="J194" s="433" t="s">
        <v>1137</v>
      </c>
      <c r="K194" s="433">
        <v>40</v>
      </c>
      <c r="L194" s="433" t="s">
        <v>1227</v>
      </c>
      <c r="M194" s="434" t="s">
        <v>419</v>
      </c>
      <c r="N194" s="433" t="s">
        <v>1139</v>
      </c>
      <c r="O194" s="432"/>
      <c r="P194" s="435"/>
      <c r="Q194" s="435"/>
      <c r="R194" s="436"/>
      <c r="S194" s="435"/>
      <c r="T194" s="435"/>
      <c r="U194" s="436"/>
      <c r="V194" s="437"/>
      <c r="W194" s="435"/>
      <c r="X194" s="438"/>
    </row>
    <row r="195" spans="1:24" s="385" customFormat="1">
      <c r="A195" s="431" t="s">
        <v>1538</v>
      </c>
      <c r="B195" s="432" t="s">
        <v>1414</v>
      </c>
      <c r="C195" s="433" t="s">
        <v>1581</v>
      </c>
      <c r="D195" s="434" t="s">
        <v>404</v>
      </c>
      <c r="E195" s="433" t="s">
        <v>404</v>
      </c>
      <c r="F195" s="433" t="s">
        <v>404</v>
      </c>
      <c r="G195" s="433" t="s">
        <v>404</v>
      </c>
      <c r="H195" s="433">
        <v>6</v>
      </c>
      <c r="I195" s="433" t="s">
        <v>404</v>
      </c>
      <c r="J195" s="433" t="s">
        <v>1123</v>
      </c>
      <c r="K195" s="433">
        <v>40</v>
      </c>
      <c r="L195" s="433" t="s">
        <v>1111</v>
      </c>
      <c r="M195" s="434" t="s">
        <v>420</v>
      </c>
      <c r="N195" s="433" t="s">
        <v>1139</v>
      </c>
      <c r="O195" s="432"/>
      <c r="P195" s="435"/>
      <c r="Q195" s="435"/>
      <c r="R195" s="436"/>
      <c r="S195" s="435"/>
      <c r="T195" s="435"/>
      <c r="U195" s="436"/>
      <c r="V195" s="437"/>
      <c r="W195" s="435"/>
      <c r="X195" s="438"/>
    </row>
    <row r="196" spans="1:24" s="385" customFormat="1" ht="30.6">
      <c r="A196" s="431" t="s">
        <v>1538</v>
      </c>
      <c r="B196" s="432" t="s">
        <v>1414</v>
      </c>
      <c r="C196" s="433" t="s">
        <v>1582</v>
      </c>
      <c r="D196" s="434">
        <v>70</v>
      </c>
      <c r="E196" s="433">
        <v>70</v>
      </c>
      <c r="F196" s="433">
        <v>55</v>
      </c>
      <c r="G196" s="433">
        <v>30</v>
      </c>
      <c r="H196" s="433">
        <v>4</v>
      </c>
      <c r="I196" s="433">
        <v>2</v>
      </c>
      <c r="J196" s="433" t="s">
        <v>1137</v>
      </c>
      <c r="K196" s="433">
        <v>40</v>
      </c>
      <c r="L196" s="433" t="s">
        <v>1343</v>
      </c>
      <c r="M196" s="434" t="s">
        <v>419</v>
      </c>
      <c r="N196" s="433" t="s">
        <v>1112</v>
      </c>
      <c r="O196" s="432"/>
      <c r="P196" s="435" t="s">
        <v>1583</v>
      </c>
      <c r="Q196" s="435"/>
      <c r="R196" s="436"/>
      <c r="S196" s="435"/>
      <c r="T196" s="435"/>
      <c r="U196" s="436"/>
      <c r="V196" s="437"/>
      <c r="W196" s="435"/>
      <c r="X196" s="438"/>
    </row>
    <row r="197" spans="1:24" s="385" customFormat="1" ht="30.6">
      <c r="A197" s="431" t="s">
        <v>1538</v>
      </c>
      <c r="B197" s="432" t="s">
        <v>1414</v>
      </c>
      <c r="C197" s="433" t="s">
        <v>1584</v>
      </c>
      <c r="D197" s="434" t="s">
        <v>404</v>
      </c>
      <c r="E197" s="433" t="s">
        <v>404</v>
      </c>
      <c r="F197" s="433" t="s">
        <v>404</v>
      </c>
      <c r="G197" s="433" t="s">
        <v>404</v>
      </c>
      <c r="H197" s="433">
        <v>12</v>
      </c>
      <c r="I197" s="433">
        <v>2</v>
      </c>
      <c r="J197" s="433" t="s">
        <v>1123</v>
      </c>
      <c r="K197" s="433">
        <v>40</v>
      </c>
      <c r="L197" s="433" t="s">
        <v>1111</v>
      </c>
      <c r="M197" s="434" t="s">
        <v>420</v>
      </c>
      <c r="N197" s="433" t="s">
        <v>1112</v>
      </c>
      <c r="O197" s="432"/>
      <c r="P197" s="435" t="s">
        <v>1585</v>
      </c>
      <c r="Q197" s="435"/>
      <c r="R197" s="436"/>
      <c r="S197" s="435"/>
      <c r="T197" s="435"/>
      <c r="U197" s="436"/>
      <c r="V197" s="437"/>
      <c r="W197" s="435"/>
      <c r="X197" s="438"/>
    </row>
    <row r="198" spans="1:24" s="385" customFormat="1">
      <c r="A198" s="431" t="s">
        <v>1538</v>
      </c>
      <c r="B198" s="432" t="s">
        <v>1414</v>
      </c>
      <c r="C198" s="433" t="s">
        <v>1586</v>
      </c>
      <c r="D198" s="434">
        <v>75</v>
      </c>
      <c r="E198" s="433">
        <v>70</v>
      </c>
      <c r="F198" s="433">
        <v>60</v>
      </c>
      <c r="G198" s="433">
        <v>30</v>
      </c>
      <c r="H198" s="433">
        <v>4</v>
      </c>
      <c r="I198" s="433">
        <v>2</v>
      </c>
      <c r="J198" s="433" t="s">
        <v>1123</v>
      </c>
      <c r="K198" s="433">
        <v>35</v>
      </c>
      <c r="L198" s="433" t="s">
        <v>1111</v>
      </c>
      <c r="M198" s="434" t="s">
        <v>419</v>
      </c>
      <c r="N198" s="433" t="s">
        <v>1112</v>
      </c>
      <c r="O198" s="432"/>
      <c r="P198" s="435"/>
      <c r="Q198" s="435"/>
      <c r="R198" s="436"/>
      <c r="S198" s="435"/>
      <c r="T198" s="435"/>
      <c r="U198" s="436"/>
      <c r="V198" s="437"/>
      <c r="W198" s="435"/>
      <c r="X198" s="438"/>
    </row>
    <row r="199" spans="1:24" s="385" customFormat="1">
      <c r="A199" s="431" t="s">
        <v>1538</v>
      </c>
      <c r="B199" s="432" t="s">
        <v>1414</v>
      </c>
      <c r="C199" s="433" t="s">
        <v>1587</v>
      </c>
      <c r="D199" s="434" t="s">
        <v>404</v>
      </c>
      <c r="E199" s="433" t="s">
        <v>404</v>
      </c>
      <c r="F199" s="433" t="s">
        <v>404</v>
      </c>
      <c r="G199" s="433" t="s">
        <v>404</v>
      </c>
      <c r="H199" s="433">
        <v>10</v>
      </c>
      <c r="I199" s="433" t="s">
        <v>404</v>
      </c>
      <c r="J199" s="433" t="s">
        <v>1123</v>
      </c>
      <c r="K199" s="433">
        <v>40</v>
      </c>
      <c r="L199" s="433" t="s">
        <v>1542</v>
      </c>
      <c r="M199" s="434" t="s">
        <v>420</v>
      </c>
      <c r="N199" s="433" t="s">
        <v>1112</v>
      </c>
      <c r="O199" s="432"/>
      <c r="P199" s="435"/>
      <c r="Q199" s="435"/>
      <c r="R199" s="436"/>
      <c r="S199" s="435"/>
      <c r="T199" s="435"/>
      <c r="U199" s="436"/>
      <c r="V199" s="437"/>
      <c r="W199" s="435"/>
      <c r="X199" s="438"/>
    </row>
    <row r="200" spans="1:24" s="385" customFormat="1" ht="113.4">
      <c r="A200" s="431" t="s">
        <v>1538</v>
      </c>
      <c r="B200" s="432" t="s">
        <v>1414</v>
      </c>
      <c r="C200" s="433" t="s">
        <v>1362</v>
      </c>
      <c r="D200" s="434">
        <v>75</v>
      </c>
      <c r="E200" s="433">
        <v>5</v>
      </c>
      <c r="F200" s="433">
        <v>60</v>
      </c>
      <c r="G200" s="433" t="s">
        <v>404</v>
      </c>
      <c r="H200" s="433" t="s">
        <v>404</v>
      </c>
      <c r="I200" s="433" t="s">
        <v>404</v>
      </c>
      <c r="J200" s="433" t="s">
        <v>404</v>
      </c>
      <c r="K200" s="433">
        <v>45</v>
      </c>
      <c r="L200" s="433" t="s">
        <v>1343</v>
      </c>
      <c r="M200" s="434" t="s">
        <v>419</v>
      </c>
      <c r="N200" s="433" t="s">
        <v>1112</v>
      </c>
      <c r="O200" s="432"/>
      <c r="P200" s="435" t="s">
        <v>1588</v>
      </c>
      <c r="Q200" s="435" t="s">
        <v>2685</v>
      </c>
      <c r="R200" s="436"/>
      <c r="S200" s="435"/>
      <c r="T200" s="435"/>
      <c r="U200" s="436"/>
      <c r="V200" s="437"/>
      <c r="W200" s="435"/>
      <c r="X200" s="438"/>
    </row>
    <row r="201" spans="1:24" s="385" customFormat="1">
      <c r="A201" s="431" t="s">
        <v>1538</v>
      </c>
      <c r="B201" s="432" t="s">
        <v>1414</v>
      </c>
      <c r="C201" s="433" t="s">
        <v>1589</v>
      </c>
      <c r="D201" s="434">
        <v>75</v>
      </c>
      <c r="E201" s="433">
        <v>70</v>
      </c>
      <c r="F201" s="433">
        <v>60</v>
      </c>
      <c r="G201" s="433">
        <v>30</v>
      </c>
      <c r="H201" s="433">
        <v>4</v>
      </c>
      <c r="I201" s="433">
        <v>2</v>
      </c>
      <c r="J201" s="433" t="s">
        <v>1137</v>
      </c>
      <c r="K201" s="433">
        <v>40</v>
      </c>
      <c r="L201" s="433" t="s">
        <v>1227</v>
      </c>
      <c r="M201" s="434" t="s">
        <v>419</v>
      </c>
      <c r="N201" s="433" t="s">
        <v>1139</v>
      </c>
      <c r="O201" s="432"/>
      <c r="P201" s="435"/>
      <c r="Q201" s="435"/>
      <c r="R201" s="436"/>
      <c r="S201" s="435"/>
      <c r="T201" s="435"/>
      <c r="U201" s="436"/>
      <c r="V201" s="437"/>
      <c r="W201" s="435"/>
      <c r="X201" s="438"/>
    </row>
    <row r="202" spans="1:24" s="385" customFormat="1" ht="61.2">
      <c r="A202" s="431" t="s">
        <v>1538</v>
      </c>
      <c r="B202" s="432" t="s">
        <v>1414</v>
      </c>
      <c r="C202" s="433" t="s">
        <v>1396</v>
      </c>
      <c r="D202" s="434" t="s">
        <v>404</v>
      </c>
      <c r="E202" s="433" t="s">
        <v>404</v>
      </c>
      <c r="F202" s="433" t="s">
        <v>404</v>
      </c>
      <c r="G202" s="433" t="s">
        <v>404</v>
      </c>
      <c r="H202" s="433">
        <v>10</v>
      </c>
      <c r="I202" s="433" t="s">
        <v>404</v>
      </c>
      <c r="J202" s="433" t="s">
        <v>1123</v>
      </c>
      <c r="K202" s="433">
        <v>40</v>
      </c>
      <c r="L202" s="433" t="s">
        <v>1542</v>
      </c>
      <c r="M202" s="434" t="s">
        <v>420</v>
      </c>
      <c r="N202" s="433" t="s">
        <v>1112</v>
      </c>
      <c r="O202" s="432"/>
      <c r="P202" s="435" t="s">
        <v>1590</v>
      </c>
      <c r="Q202" s="435"/>
      <c r="R202" s="436"/>
      <c r="S202" s="435"/>
      <c r="T202" s="435"/>
      <c r="U202" s="436"/>
      <c r="V202" s="437"/>
      <c r="W202" s="435"/>
      <c r="X202" s="438"/>
    </row>
    <row r="203" spans="1:24" s="385" customFormat="1" ht="61.2">
      <c r="A203" s="431" t="s">
        <v>1538</v>
      </c>
      <c r="B203" s="432" t="s">
        <v>1414</v>
      </c>
      <c r="C203" s="433" t="s">
        <v>1591</v>
      </c>
      <c r="D203" s="434" t="s">
        <v>404</v>
      </c>
      <c r="E203" s="433" t="s">
        <v>404</v>
      </c>
      <c r="F203" s="433" t="s">
        <v>404</v>
      </c>
      <c r="G203" s="433" t="s">
        <v>404</v>
      </c>
      <c r="H203" s="433">
        <v>10</v>
      </c>
      <c r="I203" s="433" t="s">
        <v>404</v>
      </c>
      <c r="J203" s="433" t="s">
        <v>1123</v>
      </c>
      <c r="K203" s="433">
        <v>40</v>
      </c>
      <c r="L203" s="433" t="s">
        <v>1542</v>
      </c>
      <c r="M203" s="434" t="s">
        <v>420</v>
      </c>
      <c r="N203" s="433" t="s">
        <v>1112</v>
      </c>
      <c r="O203" s="432"/>
      <c r="P203" s="435" t="s">
        <v>1590</v>
      </c>
      <c r="Q203" s="435"/>
      <c r="R203" s="436"/>
      <c r="S203" s="435"/>
      <c r="T203" s="435"/>
      <c r="U203" s="436"/>
      <c r="V203" s="437"/>
      <c r="W203" s="435"/>
      <c r="X203" s="438"/>
    </row>
    <row r="204" spans="1:24" s="385" customFormat="1">
      <c r="A204" s="431" t="s">
        <v>1538</v>
      </c>
      <c r="B204" s="432" t="s">
        <v>1414</v>
      </c>
      <c r="C204" s="433" t="s">
        <v>1592</v>
      </c>
      <c r="D204" s="434">
        <v>75</v>
      </c>
      <c r="E204" s="433">
        <v>70</v>
      </c>
      <c r="F204" s="433">
        <v>60</v>
      </c>
      <c r="G204" s="433">
        <v>30</v>
      </c>
      <c r="H204" s="433">
        <v>4</v>
      </c>
      <c r="I204" s="433">
        <v>2</v>
      </c>
      <c r="J204" s="433" t="s">
        <v>1137</v>
      </c>
      <c r="K204" s="433">
        <v>35</v>
      </c>
      <c r="L204" s="433" t="s">
        <v>1227</v>
      </c>
      <c r="M204" s="434" t="s">
        <v>419</v>
      </c>
      <c r="N204" s="433" t="s">
        <v>1139</v>
      </c>
      <c r="O204" s="432"/>
      <c r="P204" s="435"/>
      <c r="Q204" s="435"/>
      <c r="R204" s="436"/>
      <c r="S204" s="435"/>
      <c r="T204" s="435"/>
      <c r="U204" s="436"/>
      <c r="V204" s="437"/>
      <c r="W204" s="435"/>
      <c r="X204" s="438"/>
    </row>
    <row r="205" spans="1:24" s="385" customFormat="1" ht="61.2">
      <c r="A205" s="431" t="s">
        <v>1538</v>
      </c>
      <c r="B205" s="432" t="s">
        <v>1414</v>
      </c>
      <c r="C205" s="433" t="s">
        <v>1593</v>
      </c>
      <c r="D205" s="434" t="s">
        <v>404</v>
      </c>
      <c r="E205" s="433" t="s">
        <v>404</v>
      </c>
      <c r="F205" s="433" t="s">
        <v>404</v>
      </c>
      <c r="G205" s="433" t="s">
        <v>404</v>
      </c>
      <c r="H205" s="433">
        <v>10</v>
      </c>
      <c r="I205" s="433" t="s">
        <v>404</v>
      </c>
      <c r="J205" s="433" t="s">
        <v>1123</v>
      </c>
      <c r="K205" s="433">
        <v>40</v>
      </c>
      <c r="L205" s="433" t="s">
        <v>1542</v>
      </c>
      <c r="M205" s="434" t="s">
        <v>420</v>
      </c>
      <c r="N205" s="433" t="s">
        <v>1112</v>
      </c>
      <c r="O205" s="432"/>
      <c r="P205" s="435" t="s">
        <v>1590</v>
      </c>
      <c r="Q205" s="435"/>
      <c r="R205" s="436"/>
      <c r="S205" s="435"/>
      <c r="T205" s="435"/>
      <c r="U205" s="436"/>
      <c r="V205" s="437"/>
      <c r="W205" s="435"/>
      <c r="X205" s="438"/>
    </row>
    <row r="206" spans="1:24" s="385" customFormat="1">
      <c r="A206" s="431" t="s">
        <v>1538</v>
      </c>
      <c r="B206" s="432" t="s">
        <v>1414</v>
      </c>
      <c r="C206" s="433" t="s">
        <v>1594</v>
      </c>
      <c r="D206" s="434">
        <v>75</v>
      </c>
      <c r="E206" s="433">
        <v>70</v>
      </c>
      <c r="F206" s="433">
        <v>60</v>
      </c>
      <c r="G206" s="433">
        <v>30</v>
      </c>
      <c r="H206" s="433">
        <v>6</v>
      </c>
      <c r="I206" s="433">
        <v>2</v>
      </c>
      <c r="J206" s="433" t="s">
        <v>1123</v>
      </c>
      <c r="K206" s="433">
        <v>40</v>
      </c>
      <c r="L206" s="433" t="s">
        <v>1111</v>
      </c>
      <c r="M206" s="434" t="s">
        <v>419</v>
      </c>
      <c r="N206" s="433" t="s">
        <v>1112</v>
      </c>
      <c r="O206" s="432"/>
      <c r="P206" s="435"/>
      <c r="Q206" s="435"/>
      <c r="R206" s="436"/>
      <c r="S206" s="435"/>
      <c r="T206" s="435"/>
      <c r="U206" s="436"/>
      <c r="V206" s="437"/>
      <c r="W206" s="435"/>
      <c r="X206" s="438"/>
    </row>
    <row r="207" spans="1:24" s="385" customFormat="1" ht="20.399999999999999">
      <c r="A207" s="431" t="s">
        <v>1538</v>
      </c>
      <c r="B207" s="432" t="s">
        <v>1414</v>
      </c>
      <c r="C207" s="433" t="s">
        <v>1595</v>
      </c>
      <c r="D207" s="434" t="s">
        <v>404</v>
      </c>
      <c r="E207" s="433" t="s">
        <v>404</v>
      </c>
      <c r="F207" s="433">
        <v>60</v>
      </c>
      <c r="G207" s="433">
        <v>30</v>
      </c>
      <c r="H207" s="433">
        <v>4</v>
      </c>
      <c r="I207" s="433">
        <v>2</v>
      </c>
      <c r="J207" s="433" t="s">
        <v>1137</v>
      </c>
      <c r="K207" s="433">
        <v>35</v>
      </c>
      <c r="L207" s="433" t="s">
        <v>1227</v>
      </c>
      <c r="M207" s="434" t="s">
        <v>420</v>
      </c>
      <c r="N207" s="433" t="s">
        <v>1139</v>
      </c>
      <c r="O207" s="432"/>
      <c r="P207" s="435"/>
      <c r="Q207" s="435"/>
      <c r="R207" s="436"/>
      <c r="S207" s="435"/>
      <c r="T207" s="435"/>
      <c r="U207" s="436"/>
      <c r="V207" s="437"/>
      <c r="W207" s="435"/>
      <c r="X207" s="438"/>
    </row>
    <row r="208" spans="1:24" s="385" customFormat="1">
      <c r="A208" s="431" t="s">
        <v>1538</v>
      </c>
      <c r="B208" s="432" t="s">
        <v>1414</v>
      </c>
      <c r="C208" s="433" t="s">
        <v>1596</v>
      </c>
      <c r="D208" s="434">
        <v>75</v>
      </c>
      <c r="E208" s="433">
        <v>70</v>
      </c>
      <c r="F208" s="433">
        <v>60</v>
      </c>
      <c r="G208" s="433">
        <v>30</v>
      </c>
      <c r="H208" s="433">
        <v>4</v>
      </c>
      <c r="I208" s="433">
        <v>2</v>
      </c>
      <c r="J208" s="433" t="s">
        <v>1137</v>
      </c>
      <c r="K208" s="433">
        <v>35</v>
      </c>
      <c r="L208" s="433" t="s">
        <v>1227</v>
      </c>
      <c r="M208" s="434" t="s">
        <v>419</v>
      </c>
      <c r="N208" s="433" t="s">
        <v>1139</v>
      </c>
      <c r="O208" s="432"/>
      <c r="P208" s="435"/>
      <c r="Q208" s="435"/>
      <c r="R208" s="436"/>
      <c r="S208" s="435"/>
      <c r="T208" s="435"/>
      <c r="U208" s="436"/>
      <c r="V208" s="437"/>
      <c r="W208" s="435"/>
      <c r="X208" s="438"/>
    </row>
    <row r="209" spans="1:26" s="385" customFormat="1">
      <c r="A209" s="431" t="s">
        <v>1538</v>
      </c>
      <c r="B209" s="432" t="s">
        <v>1414</v>
      </c>
      <c r="C209" s="433" t="s">
        <v>1597</v>
      </c>
      <c r="D209" s="434">
        <v>75</v>
      </c>
      <c r="E209" s="433">
        <v>70</v>
      </c>
      <c r="F209" s="433">
        <v>60</v>
      </c>
      <c r="G209" s="433">
        <v>30</v>
      </c>
      <c r="H209" s="433">
        <v>4</v>
      </c>
      <c r="I209" s="433">
        <v>2</v>
      </c>
      <c r="J209" s="433" t="s">
        <v>1137</v>
      </c>
      <c r="K209" s="433">
        <v>40</v>
      </c>
      <c r="L209" s="433" t="s">
        <v>1227</v>
      </c>
      <c r="M209" s="434" t="s">
        <v>420</v>
      </c>
      <c r="N209" s="433" t="s">
        <v>1139</v>
      </c>
      <c r="O209" s="432"/>
      <c r="P209" s="435"/>
      <c r="Q209" s="435"/>
      <c r="R209" s="436"/>
      <c r="S209" s="435"/>
      <c r="T209" s="435"/>
      <c r="U209" s="436"/>
      <c r="V209" s="437"/>
      <c r="W209" s="435"/>
      <c r="X209" s="438"/>
    </row>
    <row r="210" spans="1:26" s="385" customFormat="1">
      <c r="A210" s="431" t="s">
        <v>1538</v>
      </c>
      <c r="B210" s="432" t="s">
        <v>1414</v>
      </c>
      <c r="C210" s="433" t="s">
        <v>1598</v>
      </c>
      <c r="D210" s="434">
        <v>75</v>
      </c>
      <c r="E210" s="433">
        <v>70</v>
      </c>
      <c r="F210" s="433">
        <v>60</v>
      </c>
      <c r="G210" s="433">
        <v>30</v>
      </c>
      <c r="H210" s="433">
        <v>4</v>
      </c>
      <c r="I210" s="433">
        <v>2</v>
      </c>
      <c r="J210" s="433" t="s">
        <v>1137</v>
      </c>
      <c r="K210" s="433">
        <v>40</v>
      </c>
      <c r="L210" s="433" t="s">
        <v>1227</v>
      </c>
      <c r="M210" s="434" t="s">
        <v>419</v>
      </c>
      <c r="N210" s="433" t="s">
        <v>1139</v>
      </c>
      <c r="O210" s="432"/>
      <c r="P210" s="435"/>
      <c r="Q210" s="435"/>
      <c r="R210" s="436"/>
      <c r="S210" s="435"/>
      <c r="T210" s="435"/>
      <c r="U210" s="436"/>
      <c r="V210" s="437"/>
      <c r="W210" s="435"/>
      <c r="X210" s="438"/>
    </row>
    <row r="211" spans="1:26" s="385" customFormat="1">
      <c r="A211" s="431" t="s">
        <v>1538</v>
      </c>
      <c r="B211" s="432" t="s">
        <v>1414</v>
      </c>
      <c r="C211" s="433" t="s">
        <v>1599</v>
      </c>
      <c r="D211" s="434">
        <v>72</v>
      </c>
      <c r="E211" s="433">
        <v>66</v>
      </c>
      <c r="F211" s="433">
        <v>60</v>
      </c>
      <c r="G211" s="433">
        <v>30</v>
      </c>
      <c r="H211" s="433">
        <v>4</v>
      </c>
      <c r="I211" s="433">
        <v>2</v>
      </c>
      <c r="J211" s="433" t="s">
        <v>1137</v>
      </c>
      <c r="K211" s="433">
        <v>40</v>
      </c>
      <c r="L211" s="439" t="s">
        <v>1145</v>
      </c>
      <c r="M211" s="434" t="s">
        <v>420</v>
      </c>
      <c r="N211" s="433" t="s">
        <v>1112</v>
      </c>
      <c r="O211" s="432"/>
      <c r="P211" s="435"/>
      <c r="Q211" s="435"/>
      <c r="R211" s="436"/>
      <c r="S211" s="435"/>
      <c r="T211" s="435"/>
      <c r="U211" s="436"/>
      <c r="V211" s="437"/>
      <c r="W211" s="435"/>
      <c r="X211" s="438"/>
    </row>
    <row r="212" spans="1:26" s="385" customFormat="1">
      <c r="A212" s="431" t="s">
        <v>1538</v>
      </c>
      <c r="B212" s="432" t="s">
        <v>1414</v>
      </c>
      <c r="C212" s="433" t="s">
        <v>1600</v>
      </c>
      <c r="D212" s="434">
        <v>75</v>
      </c>
      <c r="E212" s="433">
        <v>70</v>
      </c>
      <c r="F212" s="433">
        <v>60</v>
      </c>
      <c r="G212" s="433">
        <v>30</v>
      </c>
      <c r="H212" s="433">
        <v>4</v>
      </c>
      <c r="I212" s="433">
        <v>2</v>
      </c>
      <c r="J212" s="433" t="s">
        <v>1137</v>
      </c>
      <c r="K212" s="433">
        <v>40</v>
      </c>
      <c r="L212" s="433" t="s">
        <v>1227</v>
      </c>
      <c r="M212" s="434" t="s">
        <v>420</v>
      </c>
      <c r="N212" s="433" t="s">
        <v>1139</v>
      </c>
      <c r="O212" s="432"/>
      <c r="P212" s="435"/>
      <c r="Q212" s="435"/>
      <c r="R212" s="436"/>
      <c r="S212" s="435"/>
      <c r="T212" s="435"/>
      <c r="U212" s="436"/>
      <c r="V212" s="437"/>
      <c r="W212" s="435"/>
      <c r="X212" s="438"/>
    </row>
    <row r="213" spans="1:26" s="385" customFormat="1" ht="20.399999999999999">
      <c r="A213" s="431" t="s">
        <v>1538</v>
      </c>
      <c r="B213" s="432" t="s">
        <v>1414</v>
      </c>
      <c r="C213" s="433" t="s">
        <v>1601</v>
      </c>
      <c r="D213" s="434">
        <v>75</v>
      </c>
      <c r="E213" s="433">
        <v>70</v>
      </c>
      <c r="F213" s="433">
        <v>60</v>
      </c>
      <c r="G213" s="433">
        <v>30</v>
      </c>
      <c r="H213" s="433">
        <v>4</v>
      </c>
      <c r="I213" s="433">
        <v>2</v>
      </c>
      <c r="J213" s="433" t="s">
        <v>1137</v>
      </c>
      <c r="K213" s="433">
        <v>35</v>
      </c>
      <c r="L213" s="433" t="s">
        <v>1227</v>
      </c>
      <c r="M213" s="434" t="s">
        <v>419</v>
      </c>
      <c r="N213" s="433" t="s">
        <v>1139</v>
      </c>
      <c r="O213" s="432"/>
      <c r="P213" s="435" t="s">
        <v>1568</v>
      </c>
      <c r="Q213" s="435"/>
      <c r="R213" s="436"/>
      <c r="S213" s="435"/>
      <c r="T213" s="435"/>
      <c r="U213" s="436"/>
      <c r="V213" s="437"/>
      <c r="W213" s="435"/>
      <c r="X213" s="438"/>
    </row>
    <row r="214" spans="1:26" s="385" customFormat="1">
      <c r="A214" s="431" t="s">
        <v>1538</v>
      </c>
      <c r="B214" s="432" t="s">
        <v>1414</v>
      </c>
      <c r="C214" s="433" t="s">
        <v>1602</v>
      </c>
      <c r="D214" s="434">
        <v>75</v>
      </c>
      <c r="E214" s="433">
        <v>70</v>
      </c>
      <c r="F214" s="433">
        <v>60</v>
      </c>
      <c r="G214" s="433">
        <v>30</v>
      </c>
      <c r="H214" s="433">
        <v>15</v>
      </c>
      <c r="I214" s="433">
        <v>3</v>
      </c>
      <c r="J214" s="433" t="s">
        <v>1137</v>
      </c>
      <c r="K214" s="433">
        <v>35</v>
      </c>
      <c r="L214" s="439" t="s">
        <v>1145</v>
      </c>
      <c r="M214" s="434" t="s">
        <v>419</v>
      </c>
      <c r="N214" s="433" t="s">
        <v>1112</v>
      </c>
      <c r="O214" s="432"/>
      <c r="P214" s="435"/>
      <c r="Q214" s="435"/>
      <c r="R214" s="436"/>
      <c r="S214" s="435"/>
      <c r="T214" s="435"/>
      <c r="U214" s="436"/>
      <c r="V214" s="437"/>
      <c r="W214" s="435"/>
      <c r="X214" s="438"/>
    </row>
    <row r="215" spans="1:26" s="385" customFormat="1">
      <c r="A215" s="431" t="s">
        <v>1538</v>
      </c>
      <c r="B215" s="432" t="s">
        <v>1414</v>
      </c>
      <c r="C215" s="433" t="s">
        <v>1603</v>
      </c>
      <c r="D215" s="434">
        <v>75</v>
      </c>
      <c r="E215" s="433">
        <v>70</v>
      </c>
      <c r="F215" s="433">
        <v>60</v>
      </c>
      <c r="G215" s="433">
        <v>30</v>
      </c>
      <c r="H215" s="433">
        <v>6</v>
      </c>
      <c r="I215" s="433">
        <v>2</v>
      </c>
      <c r="J215" s="433" t="s">
        <v>1137</v>
      </c>
      <c r="K215" s="433">
        <v>35</v>
      </c>
      <c r="L215" s="433" t="s">
        <v>1227</v>
      </c>
      <c r="M215" s="434" t="s">
        <v>419</v>
      </c>
      <c r="N215" s="433" t="s">
        <v>1139</v>
      </c>
      <c r="O215" s="432"/>
      <c r="P215" s="435"/>
      <c r="Q215" s="435"/>
      <c r="R215" s="436"/>
      <c r="S215" s="435"/>
      <c r="T215" s="435"/>
      <c r="U215" s="436"/>
      <c r="V215" s="437"/>
      <c r="W215" s="435"/>
      <c r="X215" s="438"/>
    </row>
    <row r="216" spans="1:26" s="385" customFormat="1" ht="20.399999999999999">
      <c r="A216" s="431" t="s">
        <v>1538</v>
      </c>
      <c r="B216" s="432" t="s">
        <v>1414</v>
      </c>
      <c r="C216" s="433" t="s">
        <v>1604</v>
      </c>
      <c r="D216" s="434">
        <v>75</v>
      </c>
      <c r="E216" s="433">
        <v>70</v>
      </c>
      <c r="F216" s="433">
        <v>60</v>
      </c>
      <c r="G216" s="433">
        <v>30</v>
      </c>
      <c r="H216" s="433">
        <v>8</v>
      </c>
      <c r="I216" s="433">
        <v>2</v>
      </c>
      <c r="J216" s="433" t="s">
        <v>1137</v>
      </c>
      <c r="K216" s="433">
        <v>35</v>
      </c>
      <c r="L216" s="433" t="s">
        <v>1227</v>
      </c>
      <c r="M216" s="434" t="s">
        <v>419</v>
      </c>
      <c r="N216" s="433" t="s">
        <v>1112</v>
      </c>
      <c r="O216" s="432"/>
      <c r="P216" s="435" t="s">
        <v>1605</v>
      </c>
      <c r="Q216" s="435"/>
      <c r="R216" s="436"/>
      <c r="S216" s="435"/>
      <c r="T216" s="435"/>
      <c r="U216" s="436"/>
      <c r="V216" s="437"/>
      <c r="W216" s="435"/>
      <c r="X216" s="438"/>
    </row>
    <row r="217" spans="1:26" s="385" customFormat="1">
      <c r="A217" s="431" t="s">
        <v>1538</v>
      </c>
      <c r="B217" s="432" t="s">
        <v>1414</v>
      </c>
      <c r="C217" s="433" t="s">
        <v>1606</v>
      </c>
      <c r="D217" s="434">
        <v>75</v>
      </c>
      <c r="E217" s="433">
        <v>70</v>
      </c>
      <c r="F217" s="433">
        <v>60</v>
      </c>
      <c r="G217" s="433">
        <v>30</v>
      </c>
      <c r="H217" s="433">
        <v>15</v>
      </c>
      <c r="I217" s="433">
        <v>3</v>
      </c>
      <c r="J217" s="433" t="s">
        <v>1137</v>
      </c>
      <c r="K217" s="433">
        <v>35</v>
      </c>
      <c r="L217" s="439" t="s">
        <v>1145</v>
      </c>
      <c r="M217" s="434" t="s">
        <v>419</v>
      </c>
      <c r="N217" s="433" t="s">
        <v>1112</v>
      </c>
      <c r="O217" s="432"/>
      <c r="P217" s="435"/>
      <c r="Q217" s="435"/>
      <c r="R217" s="436"/>
      <c r="S217" s="435"/>
      <c r="T217" s="435"/>
      <c r="U217" s="436"/>
      <c r="V217" s="437"/>
      <c r="W217" s="435"/>
      <c r="X217" s="438"/>
    </row>
    <row r="218" spans="1:26" s="385" customFormat="1">
      <c r="A218" s="431" t="s">
        <v>1538</v>
      </c>
      <c r="B218" s="432" t="s">
        <v>1414</v>
      </c>
      <c r="C218" s="433" t="s">
        <v>1607</v>
      </c>
      <c r="D218" s="434">
        <v>75</v>
      </c>
      <c r="E218" s="433">
        <v>70</v>
      </c>
      <c r="F218" s="433">
        <v>60</v>
      </c>
      <c r="G218" s="433">
        <v>30</v>
      </c>
      <c r="H218" s="433">
        <v>6</v>
      </c>
      <c r="I218" s="433">
        <v>2</v>
      </c>
      <c r="J218" s="433" t="s">
        <v>1137</v>
      </c>
      <c r="K218" s="433">
        <v>35</v>
      </c>
      <c r="L218" s="433" t="s">
        <v>1227</v>
      </c>
      <c r="M218" s="434" t="s">
        <v>419</v>
      </c>
      <c r="N218" s="433" t="s">
        <v>1112</v>
      </c>
      <c r="O218" s="432"/>
      <c r="P218" s="435"/>
      <c r="Q218" s="435"/>
      <c r="R218" s="436"/>
      <c r="S218" s="435"/>
      <c r="T218" s="435"/>
      <c r="U218" s="436"/>
      <c r="V218" s="437"/>
      <c r="W218" s="435"/>
      <c r="X218" s="438"/>
    </row>
    <row r="219" spans="1:26" s="385" customFormat="1">
      <c r="A219" s="431" t="s">
        <v>1538</v>
      </c>
      <c r="B219" s="432" t="s">
        <v>1414</v>
      </c>
      <c r="C219" s="433" t="s">
        <v>1608</v>
      </c>
      <c r="D219" s="434">
        <v>70</v>
      </c>
      <c r="E219" s="433">
        <v>70</v>
      </c>
      <c r="F219" s="433">
        <v>50</v>
      </c>
      <c r="G219" s="433">
        <v>30</v>
      </c>
      <c r="H219" s="433">
        <v>6</v>
      </c>
      <c r="I219" s="433">
        <v>2</v>
      </c>
      <c r="J219" s="433" t="s">
        <v>1137</v>
      </c>
      <c r="K219" s="433">
        <v>40</v>
      </c>
      <c r="L219" s="433" t="s">
        <v>1227</v>
      </c>
      <c r="M219" s="434" t="s">
        <v>419</v>
      </c>
      <c r="N219" s="433" t="s">
        <v>1139</v>
      </c>
      <c r="O219" s="432"/>
      <c r="P219" s="435"/>
      <c r="Q219" s="435"/>
      <c r="R219" s="436"/>
      <c r="S219" s="435"/>
      <c r="T219" s="435"/>
      <c r="U219" s="436"/>
      <c r="V219" s="437"/>
      <c r="W219" s="435"/>
      <c r="X219" s="438"/>
    </row>
    <row r="220" spans="1:26" s="385" customFormat="1" ht="51">
      <c r="A220" s="431" t="s">
        <v>1538</v>
      </c>
      <c r="B220" s="432" t="s">
        <v>1414</v>
      </c>
      <c r="C220" s="433" t="s">
        <v>1609</v>
      </c>
      <c r="D220" s="434" t="s">
        <v>404</v>
      </c>
      <c r="E220" s="433" t="s">
        <v>404</v>
      </c>
      <c r="F220" s="433" t="s">
        <v>404</v>
      </c>
      <c r="G220" s="433" t="s">
        <v>404</v>
      </c>
      <c r="H220" s="433" t="s">
        <v>404</v>
      </c>
      <c r="I220" s="433" t="s">
        <v>404</v>
      </c>
      <c r="J220" s="433" t="s">
        <v>1110</v>
      </c>
      <c r="K220" s="433" t="s">
        <v>404</v>
      </c>
      <c r="L220" s="433" t="s">
        <v>1111</v>
      </c>
      <c r="M220" s="434" t="s">
        <v>419</v>
      </c>
      <c r="N220" s="433" t="s">
        <v>404</v>
      </c>
      <c r="O220" s="432"/>
      <c r="P220" s="435" t="s">
        <v>1610</v>
      </c>
      <c r="Q220" s="435"/>
      <c r="R220" s="436"/>
      <c r="S220" s="435"/>
      <c r="T220" s="435"/>
      <c r="U220" s="436"/>
      <c r="V220" s="437"/>
      <c r="W220" s="435"/>
      <c r="X220" s="438"/>
    </row>
    <row r="221" spans="1:26" ht="40.799999999999997">
      <c r="A221" s="400" t="s">
        <v>1611</v>
      </c>
      <c r="B221" s="401" t="s">
        <v>1612</v>
      </c>
      <c r="C221" s="402" t="s">
        <v>1613</v>
      </c>
      <c r="D221" s="403">
        <v>75</v>
      </c>
      <c r="E221" s="402">
        <v>70</v>
      </c>
      <c r="F221" s="402">
        <v>60</v>
      </c>
      <c r="G221" s="402">
        <v>30</v>
      </c>
      <c r="H221" s="402">
        <v>6</v>
      </c>
      <c r="I221" s="402">
        <v>2</v>
      </c>
      <c r="J221" s="402" t="s">
        <v>1137</v>
      </c>
      <c r="K221" s="402">
        <v>35</v>
      </c>
      <c r="L221" s="418" t="s">
        <v>1138</v>
      </c>
      <c r="M221" s="403" t="s">
        <v>419</v>
      </c>
      <c r="N221" s="402" t="s">
        <v>1139</v>
      </c>
      <c r="O221" s="401"/>
      <c r="P221" s="405" t="s">
        <v>1614</v>
      </c>
      <c r="Q221" s="405"/>
      <c r="R221" s="407"/>
      <c r="S221" s="405"/>
      <c r="T221" s="405"/>
      <c r="U221" s="407"/>
      <c r="V221" s="408"/>
      <c r="W221" s="405"/>
      <c r="X221" s="406"/>
      <c r="Y221" s="379"/>
      <c r="Z221" s="379"/>
    </row>
    <row r="222" spans="1:26">
      <c r="A222" s="400" t="s">
        <v>1611</v>
      </c>
      <c r="B222" s="401" t="s">
        <v>1615</v>
      </c>
      <c r="C222" s="402" t="s">
        <v>1616</v>
      </c>
      <c r="D222" s="403">
        <v>75</v>
      </c>
      <c r="E222" s="402">
        <v>70</v>
      </c>
      <c r="F222" s="402">
        <v>60</v>
      </c>
      <c r="G222" s="402">
        <v>30</v>
      </c>
      <c r="H222" s="402">
        <v>15</v>
      </c>
      <c r="I222" s="402">
        <v>3</v>
      </c>
      <c r="J222" s="402" t="s">
        <v>1137</v>
      </c>
      <c r="K222" s="402">
        <v>35</v>
      </c>
      <c r="L222" s="418" t="s">
        <v>1145</v>
      </c>
      <c r="M222" s="403" t="s">
        <v>419</v>
      </c>
      <c r="N222" s="402" t="s">
        <v>1112</v>
      </c>
      <c r="O222" s="401"/>
      <c r="P222" s="405"/>
      <c r="Q222" s="405"/>
      <c r="R222" s="407"/>
      <c r="S222" s="405"/>
      <c r="T222" s="405"/>
      <c r="U222" s="407"/>
      <c r="V222" s="408"/>
      <c r="W222" s="405"/>
      <c r="X222" s="406"/>
      <c r="Y222" s="379"/>
      <c r="Z222" s="379"/>
    </row>
    <row r="223" spans="1:26" ht="51">
      <c r="A223" s="409" t="s">
        <v>1617</v>
      </c>
      <c r="B223" s="410" t="s">
        <v>1128</v>
      </c>
      <c r="C223" s="402" t="s">
        <v>1618</v>
      </c>
      <c r="D223" s="403">
        <v>75</v>
      </c>
      <c r="E223" s="402">
        <v>70</v>
      </c>
      <c r="F223" s="402">
        <v>60</v>
      </c>
      <c r="G223" s="402">
        <v>30</v>
      </c>
      <c r="H223" s="402">
        <v>10</v>
      </c>
      <c r="I223" s="402" t="s">
        <v>404</v>
      </c>
      <c r="J223" s="402" t="s">
        <v>1123</v>
      </c>
      <c r="K223" s="402">
        <v>40</v>
      </c>
      <c r="L223" s="402" t="s">
        <v>1124</v>
      </c>
      <c r="M223" s="403" t="s">
        <v>419</v>
      </c>
      <c r="N223" s="402" t="s">
        <v>1112</v>
      </c>
      <c r="O223" s="411"/>
      <c r="P223" s="405" t="s">
        <v>1125</v>
      </c>
      <c r="Q223" s="405"/>
      <c r="R223" s="407"/>
      <c r="S223" s="405"/>
      <c r="T223" s="405"/>
      <c r="U223" s="407"/>
      <c r="V223" s="408"/>
      <c r="W223" s="405"/>
      <c r="X223" s="406"/>
      <c r="Y223" s="379"/>
      <c r="Z223" s="379"/>
    </row>
    <row r="224" spans="1:26" ht="51">
      <c r="A224" s="409" t="s">
        <v>1617</v>
      </c>
      <c r="B224" s="410" t="s">
        <v>1130</v>
      </c>
      <c r="C224" s="402" t="s">
        <v>1619</v>
      </c>
      <c r="D224" s="403">
        <v>75</v>
      </c>
      <c r="E224" s="402">
        <v>70</v>
      </c>
      <c r="F224" s="402">
        <v>60</v>
      </c>
      <c r="G224" s="402">
        <v>30</v>
      </c>
      <c r="H224" s="402">
        <v>10</v>
      </c>
      <c r="I224" s="402" t="s">
        <v>404</v>
      </c>
      <c r="J224" s="402" t="s">
        <v>1123</v>
      </c>
      <c r="K224" s="402">
        <v>40</v>
      </c>
      <c r="L224" s="402" t="s">
        <v>1124</v>
      </c>
      <c r="M224" s="403" t="s">
        <v>419</v>
      </c>
      <c r="N224" s="402" t="s">
        <v>1112</v>
      </c>
      <c r="O224" s="411"/>
      <c r="P224" s="405" t="s">
        <v>1125</v>
      </c>
      <c r="Q224" s="405"/>
      <c r="R224" s="407"/>
      <c r="S224" s="405"/>
      <c r="T224" s="405"/>
      <c r="U224" s="407"/>
      <c r="V224" s="408"/>
      <c r="W224" s="405"/>
      <c r="X224" s="406"/>
      <c r="Y224" s="379"/>
      <c r="Z224" s="379"/>
    </row>
    <row r="225" spans="1:29" ht="20.399999999999999">
      <c r="A225" s="409" t="s">
        <v>1617</v>
      </c>
      <c r="B225" s="410" t="s">
        <v>1132</v>
      </c>
      <c r="C225" s="402" t="s">
        <v>1620</v>
      </c>
      <c r="D225" s="403" t="s">
        <v>404</v>
      </c>
      <c r="E225" s="402" t="s">
        <v>404</v>
      </c>
      <c r="F225" s="402" t="s">
        <v>404</v>
      </c>
      <c r="G225" s="410" t="s">
        <v>404</v>
      </c>
      <c r="H225" s="402">
        <v>10</v>
      </c>
      <c r="I225" s="402" t="s">
        <v>404</v>
      </c>
      <c r="J225" s="402" t="s">
        <v>1123</v>
      </c>
      <c r="K225" s="402">
        <v>40</v>
      </c>
      <c r="L225" s="402" t="s">
        <v>1134</v>
      </c>
      <c r="M225" s="403" t="s">
        <v>420</v>
      </c>
      <c r="N225" s="402" t="s">
        <v>1112</v>
      </c>
      <c r="O225" s="411"/>
      <c r="P225" s="405"/>
      <c r="Q225" s="405"/>
      <c r="R225" s="407"/>
      <c r="S225" s="405"/>
      <c r="T225" s="405"/>
      <c r="U225" s="407"/>
      <c r="V225" s="408"/>
      <c r="W225" s="405"/>
      <c r="X225" s="406"/>
      <c r="Y225" s="379"/>
      <c r="Z225" s="379"/>
    </row>
    <row r="226" spans="1:29">
      <c r="A226" s="409" t="s">
        <v>1617</v>
      </c>
      <c r="B226" s="410" t="s">
        <v>1135</v>
      </c>
      <c r="C226" s="402" t="s">
        <v>1621</v>
      </c>
      <c r="D226" s="403">
        <v>75</v>
      </c>
      <c r="E226" s="402">
        <v>70</v>
      </c>
      <c r="F226" s="402">
        <v>60</v>
      </c>
      <c r="G226" s="410">
        <v>30</v>
      </c>
      <c r="H226" s="402">
        <v>4</v>
      </c>
      <c r="I226" s="402">
        <v>2</v>
      </c>
      <c r="J226" s="402" t="s">
        <v>1137</v>
      </c>
      <c r="K226" s="402">
        <v>40</v>
      </c>
      <c r="L226" s="402" t="s">
        <v>1138</v>
      </c>
      <c r="M226" s="403" t="s">
        <v>419</v>
      </c>
      <c r="N226" s="402" t="s">
        <v>1139</v>
      </c>
      <c r="O226" s="411"/>
      <c r="P226" s="405"/>
      <c r="Q226" s="405"/>
      <c r="R226" s="407"/>
      <c r="S226" s="405"/>
      <c r="T226" s="405"/>
      <c r="U226" s="407"/>
      <c r="V226" s="408"/>
      <c r="W226" s="405"/>
      <c r="X226" s="406"/>
      <c r="Y226" s="379"/>
      <c r="Z226" s="379"/>
    </row>
    <row r="227" spans="1:29" ht="20.399999999999999">
      <c r="A227" s="409" t="s">
        <v>1617</v>
      </c>
      <c r="B227" s="410" t="s">
        <v>1140</v>
      </c>
      <c r="C227" s="402" t="s">
        <v>1622</v>
      </c>
      <c r="D227" s="403" t="s">
        <v>404</v>
      </c>
      <c r="E227" s="402" t="s">
        <v>404</v>
      </c>
      <c r="F227" s="402" t="s">
        <v>404</v>
      </c>
      <c r="G227" s="410" t="s">
        <v>404</v>
      </c>
      <c r="H227" s="402" t="s">
        <v>404</v>
      </c>
      <c r="I227" s="402" t="s">
        <v>404</v>
      </c>
      <c r="J227" s="402" t="s">
        <v>404</v>
      </c>
      <c r="K227" s="402" t="s">
        <v>404</v>
      </c>
      <c r="L227" s="402" t="s">
        <v>404</v>
      </c>
      <c r="M227" s="403" t="s">
        <v>404</v>
      </c>
      <c r="N227" s="402" t="s">
        <v>404</v>
      </c>
      <c r="O227" s="401"/>
      <c r="P227" s="405" t="s">
        <v>1256</v>
      </c>
      <c r="Q227" s="405"/>
      <c r="R227" s="407"/>
      <c r="S227" s="405"/>
      <c r="T227" s="405"/>
      <c r="U227" s="407"/>
      <c r="V227" s="408"/>
      <c r="W227" s="405"/>
      <c r="X227" s="406"/>
      <c r="Y227" s="379"/>
      <c r="Z227" s="379"/>
    </row>
    <row r="228" spans="1:29">
      <c r="A228" s="409" t="s">
        <v>1617</v>
      </c>
      <c r="B228" s="410" t="s">
        <v>1171</v>
      </c>
      <c r="C228" s="402" t="s">
        <v>1623</v>
      </c>
      <c r="D228" s="403">
        <v>75</v>
      </c>
      <c r="E228" s="402">
        <v>70</v>
      </c>
      <c r="F228" s="402">
        <v>60</v>
      </c>
      <c r="G228" s="402">
        <v>30</v>
      </c>
      <c r="H228" s="402">
        <v>4</v>
      </c>
      <c r="I228" s="402">
        <v>2</v>
      </c>
      <c r="J228" s="402" t="s">
        <v>1137</v>
      </c>
      <c r="K228" s="402">
        <v>40</v>
      </c>
      <c r="L228" s="402" t="s">
        <v>1138</v>
      </c>
      <c r="M228" s="403" t="s">
        <v>419</v>
      </c>
      <c r="N228" s="402" t="s">
        <v>1139</v>
      </c>
      <c r="O228" s="411"/>
      <c r="P228" s="405"/>
      <c r="Q228" s="405"/>
      <c r="R228" s="407"/>
      <c r="S228" s="405"/>
      <c r="T228" s="405"/>
      <c r="U228" s="407"/>
      <c r="V228" s="408"/>
      <c r="W228" s="405"/>
      <c r="X228" s="406"/>
      <c r="Y228" s="379"/>
      <c r="Z228" s="379"/>
    </row>
    <row r="229" spans="1:29">
      <c r="A229" s="409" t="s">
        <v>1617</v>
      </c>
      <c r="B229" s="410" t="s">
        <v>1624</v>
      </c>
      <c r="C229" s="402" t="s">
        <v>1625</v>
      </c>
      <c r="D229" s="403">
        <v>75</v>
      </c>
      <c r="E229" s="402">
        <v>70</v>
      </c>
      <c r="F229" s="402">
        <v>60</v>
      </c>
      <c r="G229" s="410">
        <v>30</v>
      </c>
      <c r="H229" s="402">
        <v>4</v>
      </c>
      <c r="I229" s="402">
        <v>2</v>
      </c>
      <c r="J229" s="402" t="s">
        <v>1137</v>
      </c>
      <c r="K229" s="402">
        <v>40</v>
      </c>
      <c r="L229" s="402" t="s">
        <v>1138</v>
      </c>
      <c r="M229" s="403" t="s">
        <v>419</v>
      </c>
      <c r="N229" s="402" t="s">
        <v>1139</v>
      </c>
      <c r="O229" s="401"/>
      <c r="P229" s="405"/>
      <c r="Q229" s="405"/>
      <c r="R229" s="407"/>
      <c r="S229" s="405"/>
      <c r="T229" s="405"/>
      <c r="U229" s="407"/>
      <c r="V229" s="408"/>
      <c r="W229" s="405"/>
      <c r="X229" s="406"/>
      <c r="Y229" s="379"/>
      <c r="Z229" s="379"/>
    </row>
    <row r="230" spans="1:29" ht="91.8">
      <c r="A230" s="409" t="s">
        <v>1617</v>
      </c>
      <c r="B230" s="410" t="s">
        <v>1199</v>
      </c>
      <c r="C230" s="402" t="s">
        <v>1626</v>
      </c>
      <c r="D230" s="403">
        <v>75</v>
      </c>
      <c r="E230" s="402">
        <v>70</v>
      </c>
      <c r="F230" s="402">
        <v>60</v>
      </c>
      <c r="G230" s="402">
        <v>30</v>
      </c>
      <c r="H230" s="402">
        <v>4</v>
      </c>
      <c r="I230" s="402">
        <v>2</v>
      </c>
      <c r="J230" s="402" t="s">
        <v>1137</v>
      </c>
      <c r="K230" s="402">
        <v>35</v>
      </c>
      <c r="L230" s="402" t="s">
        <v>1138</v>
      </c>
      <c r="M230" s="403" t="s">
        <v>419</v>
      </c>
      <c r="N230" s="402" t="s">
        <v>1139</v>
      </c>
      <c r="O230" s="411"/>
      <c r="P230" s="405" t="s">
        <v>1142</v>
      </c>
      <c r="Q230" s="405"/>
      <c r="R230" s="407"/>
      <c r="S230" s="405"/>
      <c r="T230" s="405"/>
      <c r="U230" s="407"/>
      <c r="V230" s="408"/>
      <c r="W230" s="405"/>
      <c r="X230" s="406"/>
      <c r="Y230" s="379"/>
      <c r="Z230" s="379"/>
    </row>
    <row r="231" spans="1:29" ht="30.6">
      <c r="A231" s="409" t="s">
        <v>1617</v>
      </c>
      <c r="B231" s="410" t="s">
        <v>1201</v>
      </c>
      <c r="C231" s="402" t="s">
        <v>1627</v>
      </c>
      <c r="D231" s="403">
        <v>75</v>
      </c>
      <c r="E231" s="402">
        <v>70</v>
      </c>
      <c r="F231" s="402">
        <v>60</v>
      </c>
      <c r="G231" s="402">
        <v>30</v>
      </c>
      <c r="H231" s="402">
        <v>4</v>
      </c>
      <c r="I231" s="402">
        <v>2</v>
      </c>
      <c r="J231" s="402" t="s">
        <v>1137</v>
      </c>
      <c r="K231" s="402">
        <v>40</v>
      </c>
      <c r="L231" s="402" t="s">
        <v>1138</v>
      </c>
      <c r="M231" s="403" t="s">
        <v>419</v>
      </c>
      <c r="N231" s="402" t="s">
        <v>1139</v>
      </c>
      <c r="O231" s="411"/>
      <c r="P231" s="405" t="s">
        <v>1203</v>
      </c>
      <c r="Q231" s="405"/>
      <c r="R231" s="407"/>
      <c r="S231" s="405"/>
      <c r="T231" s="405"/>
      <c r="U231" s="407"/>
      <c r="V231" s="408"/>
      <c r="W231" s="405"/>
      <c r="X231" s="406"/>
      <c r="Y231" s="379"/>
      <c r="Z231" s="379"/>
    </row>
    <row r="232" spans="1:29">
      <c r="A232" s="409" t="s">
        <v>1617</v>
      </c>
      <c r="B232" s="410" t="s">
        <v>1204</v>
      </c>
      <c r="C232" s="402" t="s">
        <v>1628</v>
      </c>
      <c r="D232" s="403">
        <v>75</v>
      </c>
      <c r="E232" s="402">
        <v>70</v>
      </c>
      <c r="F232" s="402">
        <v>60</v>
      </c>
      <c r="G232" s="402">
        <v>30</v>
      </c>
      <c r="H232" s="402">
        <v>4</v>
      </c>
      <c r="I232" s="402">
        <v>2</v>
      </c>
      <c r="J232" s="402" t="s">
        <v>1137</v>
      </c>
      <c r="K232" s="402">
        <v>40</v>
      </c>
      <c r="L232" s="402" t="s">
        <v>1138</v>
      </c>
      <c r="M232" s="403" t="s">
        <v>419</v>
      </c>
      <c r="N232" s="402" t="s">
        <v>1139</v>
      </c>
      <c r="O232" s="411"/>
      <c r="P232" s="405"/>
      <c r="Q232" s="405"/>
      <c r="R232" s="407"/>
      <c r="S232" s="405"/>
      <c r="T232" s="405"/>
      <c r="U232" s="407"/>
      <c r="V232" s="408"/>
      <c r="W232" s="405"/>
      <c r="X232" s="406"/>
      <c r="Y232" s="379"/>
      <c r="Z232" s="379"/>
    </row>
    <row r="233" spans="1:29">
      <c r="A233" s="409" t="s">
        <v>1617</v>
      </c>
      <c r="B233" s="410" t="s">
        <v>1206</v>
      </c>
      <c r="C233" s="402" t="s">
        <v>1629</v>
      </c>
      <c r="D233" s="403">
        <v>75</v>
      </c>
      <c r="E233" s="402">
        <v>70</v>
      </c>
      <c r="F233" s="402">
        <v>60</v>
      </c>
      <c r="G233" s="402">
        <v>30</v>
      </c>
      <c r="H233" s="402">
        <v>4</v>
      </c>
      <c r="I233" s="402">
        <v>2</v>
      </c>
      <c r="J233" s="402" t="s">
        <v>1137</v>
      </c>
      <c r="K233" s="402">
        <v>35</v>
      </c>
      <c r="L233" s="402" t="s">
        <v>1138</v>
      </c>
      <c r="M233" s="403" t="s">
        <v>419</v>
      </c>
      <c r="N233" s="402" t="s">
        <v>1139</v>
      </c>
      <c r="O233" s="411"/>
      <c r="P233" s="405"/>
      <c r="Q233" s="405"/>
      <c r="R233" s="407"/>
      <c r="S233" s="405"/>
      <c r="T233" s="405"/>
      <c r="U233" s="407"/>
      <c r="V233" s="408"/>
      <c r="W233" s="405"/>
      <c r="X233" s="406"/>
      <c r="Y233" s="379"/>
      <c r="Z233" s="379"/>
    </row>
    <row r="234" spans="1:29">
      <c r="A234" s="409" t="s">
        <v>1617</v>
      </c>
      <c r="B234" s="410" t="s">
        <v>1271</v>
      </c>
      <c r="C234" s="402" t="s">
        <v>1630</v>
      </c>
      <c r="D234" s="403">
        <v>75</v>
      </c>
      <c r="E234" s="402">
        <v>70</v>
      </c>
      <c r="F234" s="402">
        <v>60</v>
      </c>
      <c r="G234" s="402">
        <v>30</v>
      </c>
      <c r="H234" s="402">
        <v>4</v>
      </c>
      <c r="I234" s="402">
        <v>2</v>
      </c>
      <c r="J234" s="402" t="s">
        <v>1137</v>
      </c>
      <c r="K234" s="402">
        <v>40</v>
      </c>
      <c r="L234" s="402" t="s">
        <v>1138</v>
      </c>
      <c r="M234" s="403" t="s">
        <v>419</v>
      </c>
      <c r="N234" s="402" t="s">
        <v>1139</v>
      </c>
      <c r="O234" s="411"/>
      <c r="P234" s="405"/>
      <c r="Q234" s="405"/>
      <c r="R234" s="407"/>
      <c r="S234" s="405"/>
      <c r="T234" s="405"/>
      <c r="U234" s="407"/>
      <c r="V234" s="408"/>
      <c r="W234" s="405"/>
      <c r="X234" s="406"/>
      <c r="Y234" s="379"/>
      <c r="Z234" s="379"/>
    </row>
    <row r="235" spans="1:29">
      <c r="A235" s="409" t="s">
        <v>1617</v>
      </c>
      <c r="B235" s="410" t="s">
        <v>1208</v>
      </c>
      <c r="C235" s="402" t="s">
        <v>1631</v>
      </c>
      <c r="D235" s="403">
        <v>75</v>
      </c>
      <c r="E235" s="402">
        <v>70</v>
      </c>
      <c r="F235" s="402">
        <v>60</v>
      </c>
      <c r="G235" s="402">
        <v>30</v>
      </c>
      <c r="H235" s="402">
        <v>4</v>
      </c>
      <c r="I235" s="402">
        <v>2</v>
      </c>
      <c r="J235" s="402" t="s">
        <v>1137</v>
      </c>
      <c r="K235" s="402">
        <v>40</v>
      </c>
      <c r="L235" s="402" t="s">
        <v>1138</v>
      </c>
      <c r="M235" s="403" t="s">
        <v>419</v>
      </c>
      <c r="N235" s="402" t="s">
        <v>1139</v>
      </c>
      <c r="O235" s="411"/>
      <c r="P235" s="405"/>
      <c r="Q235" s="405"/>
      <c r="R235" s="407"/>
      <c r="S235" s="405"/>
      <c r="T235" s="405"/>
      <c r="U235" s="407"/>
      <c r="V235" s="408"/>
      <c r="W235" s="405"/>
      <c r="X235" s="406"/>
      <c r="Y235" s="379"/>
      <c r="Z235" s="379"/>
    </row>
    <row r="236" spans="1:29">
      <c r="A236" s="409" t="s">
        <v>1617</v>
      </c>
      <c r="B236" s="410" t="s">
        <v>1274</v>
      </c>
      <c r="C236" s="402" t="s">
        <v>1632</v>
      </c>
      <c r="D236" s="403">
        <v>75</v>
      </c>
      <c r="E236" s="402">
        <v>70</v>
      </c>
      <c r="F236" s="402">
        <v>60</v>
      </c>
      <c r="G236" s="410">
        <v>30</v>
      </c>
      <c r="H236" s="402">
        <v>4</v>
      </c>
      <c r="I236" s="402">
        <v>2</v>
      </c>
      <c r="J236" s="402" t="s">
        <v>1137</v>
      </c>
      <c r="K236" s="402">
        <v>40</v>
      </c>
      <c r="L236" s="402" t="s">
        <v>1138</v>
      </c>
      <c r="M236" s="403" t="s">
        <v>419</v>
      </c>
      <c r="N236" s="402" t="s">
        <v>1139</v>
      </c>
      <c r="O236" s="411"/>
      <c r="P236" s="405"/>
      <c r="Q236" s="405"/>
      <c r="R236" s="407"/>
      <c r="S236" s="405"/>
      <c r="T236" s="405"/>
      <c r="U236" s="407"/>
      <c r="V236" s="408"/>
      <c r="W236" s="405"/>
      <c r="X236" s="406"/>
      <c r="Y236" s="379"/>
      <c r="Z236" s="379"/>
    </row>
    <row r="237" spans="1:29">
      <c r="A237" s="409" t="s">
        <v>1617</v>
      </c>
      <c r="B237" s="410" t="s">
        <v>1276</v>
      </c>
      <c r="C237" s="402" t="s">
        <v>1632</v>
      </c>
      <c r="D237" s="403">
        <v>75</v>
      </c>
      <c r="E237" s="402">
        <v>70</v>
      </c>
      <c r="F237" s="402">
        <v>60</v>
      </c>
      <c r="G237" s="410">
        <v>30</v>
      </c>
      <c r="H237" s="402">
        <v>4</v>
      </c>
      <c r="I237" s="402">
        <v>2</v>
      </c>
      <c r="J237" s="402" t="s">
        <v>1137</v>
      </c>
      <c r="K237" s="402">
        <v>40</v>
      </c>
      <c r="L237" s="402" t="s">
        <v>1138</v>
      </c>
      <c r="M237" s="403" t="s">
        <v>419</v>
      </c>
      <c r="N237" s="402" t="s">
        <v>1139</v>
      </c>
      <c r="O237" s="411"/>
      <c r="P237" s="405"/>
      <c r="Q237" s="405"/>
      <c r="R237" s="407"/>
      <c r="S237" s="405"/>
      <c r="T237" s="405"/>
      <c r="U237" s="407"/>
      <c r="V237" s="408"/>
      <c r="W237" s="405"/>
      <c r="X237" s="406"/>
      <c r="Y237" s="379"/>
      <c r="Z237" s="379"/>
    </row>
    <row r="238" spans="1:29" ht="91.8">
      <c r="A238" s="409" t="s">
        <v>1617</v>
      </c>
      <c r="B238" s="410" t="s">
        <v>1210</v>
      </c>
      <c r="C238" s="402" t="s">
        <v>1633</v>
      </c>
      <c r="D238" s="403">
        <v>75</v>
      </c>
      <c r="E238" s="402">
        <v>70</v>
      </c>
      <c r="F238" s="402">
        <v>60</v>
      </c>
      <c r="G238" s="402">
        <v>30</v>
      </c>
      <c r="H238" s="402">
        <v>4</v>
      </c>
      <c r="I238" s="402">
        <v>2</v>
      </c>
      <c r="J238" s="402" t="s">
        <v>1137</v>
      </c>
      <c r="K238" s="402">
        <v>35</v>
      </c>
      <c r="L238" s="402" t="s">
        <v>1138</v>
      </c>
      <c r="M238" s="403" t="s">
        <v>419</v>
      </c>
      <c r="N238" s="402" t="s">
        <v>1139</v>
      </c>
      <c r="O238" s="411"/>
      <c r="P238" s="405" t="s">
        <v>1142</v>
      </c>
      <c r="Q238" s="405"/>
      <c r="R238" s="407"/>
      <c r="S238" s="405"/>
      <c r="T238" s="405"/>
      <c r="U238" s="407"/>
      <c r="V238" s="408"/>
      <c r="W238" s="405"/>
      <c r="X238" s="406"/>
      <c r="Y238" s="384"/>
      <c r="Z238" s="384"/>
      <c r="AA238" s="384"/>
      <c r="AB238" s="384"/>
      <c r="AC238" s="384"/>
    </row>
    <row r="239" spans="1:29" ht="20.399999999999999">
      <c r="A239" s="440" t="s">
        <v>1617</v>
      </c>
      <c r="B239" s="410" t="s">
        <v>1279</v>
      </c>
      <c r="C239" s="402" t="s">
        <v>1634</v>
      </c>
      <c r="D239" s="403" t="s">
        <v>404</v>
      </c>
      <c r="E239" s="402" t="s">
        <v>404</v>
      </c>
      <c r="F239" s="402" t="s">
        <v>404</v>
      </c>
      <c r="G239" s="410" t="s">
        <v>404</v>
      </c>
      <c r="H239" s="402" t="s">
        <v>404</v>
      </c>
      <c r="I239" s="402" t="s">
        <v>404</v>
      </c>
      <c r="J239" s="402" t="s">
        <v>404</v>
      </c>
      <c r="K239" s="402" t="s">
        <v>404</v>
      </c>
      <c r="L239" s="402" t="s">
        <v>404</v>
      </c>
      <c r="M239" s="403" t="s">
        <v>404</v>
      </c>
      <c r="N239" s="402" t="s">
        <v>404</v>
      </c>
      <c r="O239" s="401"/>
      <c r="P239" s="405" t="s">
        <v>1256</v>
      </c>
      <c r="Q239" s="405"/>
      <c r="R239" s="407"/>
      <c r="S239" s="405"/>
      <c r="T239" s="405"/>
      <c r="U239" s="407"/>
      <c r="V239" s="408"/>
      <c r="W239" s="405"/>
      <c r="X239" s="406"/>
      <c r="Y239" s="384"/>
      <c r="Z239" s="384"/>
      <c r="AA239" s="384"/>
      <c r="AB239" s="384"/>
      <c r="AC239" s="384"/>
    </row>
    <row r="240" spans="1:29" ht="51">
      <c r="A240" s="440" t="s">
        <v>1617</v>
      </c>
      <c r="B240" s="410" t="s">
        <v>1212</v>
      </c>
      <c r="C240" s="402" t="s">
        <v>1635</v>
      </c>
      <c r="D240" s="403">
        <v>75</v>
      </c>
      <c r="E240" s="402">
        <v>70</v>
      </c>
      <c r="F240" s="402">
        <v>60</v>
      </c>
      <c r="G240" s="402">
        <v>30</v>
      </c>
      <c r="H240" s="402">
        <v>10</v>
      </c>
      <c r="I240" s="402" t="s">
        <v>404</v>
      </c>
      <c r="J240" s="402" t="s">
        <v>1123</v>
      </c>
      <c r="K240" s="402">
        <v>40</v>
      </c>
      <c r="L240" s="402" t="s">
        <v>1124</v>
      </c>
      <c r="M240" s="403" t="s">
        <v>419</v>
      </c>
      <c r="N240" s="402" t="s">
        <v>1112</v>
      </c>
      <c r="O240" s="411"/>
      <c r="P240" s="405" t="s">
        <v>1125</v>
      </c>
      <c r="Q240" s="405"/>
      <c r="R240" s="407"/>
      <c r="S240" s="405"/>
      <c r="T240" s="405"/>
      <c r="U240" s="407"/>
      <c r="V240" s="408"/>
      <c r="W240" s="405"/>
      <c r="X240" s="406"/>
      <c r="Y240" s="384"/>
      <c r="Z240" s="384"/>
      <c r="AA240" s="384"/>
      <c r="AB240" s="384"/>
      <c r="AC240" s="384"/>
    </row>
    <row r="241" spans="1:29" ht="51">
      <c r="A241" s="440" t="s">
        <v>1617</v>
      </c>
      <c r="B241" s="410" t="s">
        <v>1214</v>
      </c>
      <c r="C241" s="402" t="s">
        <v>1636</v>
      </c>
      <c r="D241" s="403">
        <v>75</v>
      </c>
      <c r="E241" s="402">
        <v>70</v>
      </c>
      <c r="F241" s="402">
        <v>60</v>
      </c>
      <c r="G241" s="402">
        <v>30</v>
      </c>
      <c r="H241" s="402">
        <v>10</v>
      </c>
      <c r="I241" s="402" t="s">
        <v>404</v>
      </c>
      <c r="J241" s="402" t="s">
        <v>1123</v>
      </c>
      <c r="K241" s="402">
        <v>40</v>
      </c>
      <c r="L241" s="402" t="s">
        <v>1124</v>
      </c>
      <c r="M241" s="403" t="s">
        <v>419</v>
      </c>
      <c r="N241" s="402" t="s">
        <v>1112</v>
      </c>
      <c r="O241" s="411"/>
      <c r="P241" s="405" t="s">
        <v>1125</v>
      </c>
      <c r="Q241" s="405"/>
      <c r="R241" s="407"/>
      <c r="S241" s="405"/>
      <c r="T241" s="405"/>
      <c r="U241" s="407"/>
      <c r="V241" s="408"/>
      <c r="W241" s="405"/>
      <c r="X241" s="406"/>
      <c r="Y241" s="384"/>
      <c r="Z241" s="384"/>
      <c r="AA241" s="384"/>
      <c r="AB241" s="384"/>
      <c r="AC241" s="384"/>
    </row>
    <row r="242" spans="1:29" ht="71.400000000000006">
      <c r="A242" s="441" t="s">
        <v>1617</v>
      </c>
      <c r="B242" s="410" t="s">
        <v>1216</v>
      </c>
      <c r="C242" s="402" t="s">
        <v>1637</v>
      </c>
      <c r="D242" s="403">
        <v>75</v>
      </c>
      <c r="E242" s="402">
        <v>70</v>
      </c>
      <c r="F242" s="402">
        <v>60</v>
      </c>
      <c r="G242" s="402">
        <v>30</v>
      </c>
      <c r="H242" s="402">
        <v>4</v>
      </c>
      <c r="I242" s="402">
        <v>2</v>
      </c>
      <c r="J242" s="402" t="s">
        <v>1123</v>
      </c>
      <c r="K242" s="402">
        <v>40</v>
      </c>
      <c r="L242" s="402" t="s">
        <v>1124</v>
      </c>
      <c r="M242" s="403" t="s">
        <v>419</v>
      </c>
      <c r="N242" s="402" t="s">
        <v>1112</v>
      </c>
      <c r="O242" s="411"/>
      <c r="P242" s="405" t="s">
        <v>1218</v>
      </c>
      <c r="Q242" s="405"/>
      <c r="R242" s="407"/>
      <c r="S242" s="405"/>
      <c r="T242" s="405"/>
      <c r="U242" s="407"/>
      <c r="V242" s="408"/>
      <c r="W242" s="405"/>
      <c r="X242" s="406"/>
      <c r="Y242" s="384"/>
      <c r="Z242" s="384"/>
      <c r="AA242" s="384"/>
      <c r="AB242" s="384"/>
      <c r="AC242" s="384"/>
    </row>
    <row r="243" spans="1:29">
      <c r="A243" s="441" t="s">
        <v>1617</v>
      </c>
      <c r="B243" s="410" t="s">
        <v>1219</v>
      </c>
      <c r="C243" s="410" t="s">
        <v>1638</v>
      </c>
      <c r="D243" s="403">
        <v>75</v>
      </c>
      <c r="E243" s="402">
        <v>70</v>
      </c>
      <c r="F243" s="402">
        <v>60</v>
      </c>
      <c r="G243" s="410">
        <v>30</v>
      </c>
      <c r="H243" s="402">
        <v>6</v>
      </c>
      <c r="I243" s="402">
        <v>2</v>
      </c>
      <c r="J243" s="402" t="s">
        <v>1137</v>
      </c>
      <c r="K243" s="402">
        <v>40</v>
      </c>
      <c r="L243" s="418" t="s">
        <v>1221</v>
      </c>
      <c r="M243" s="403" t="s">
        <v>419</v>
      </c>
      <c r="N243" s="402" t="s">
        <v>1139</v>
      </c>
      <c r="O243" s="411"/>
      <c r="P243" s="405"/>
      <c r="Q243" s="405"/>
      <c r="R243" s="407"/>
      <c r="S243" s="405"/>
      <c r="T243" s="405"/>
      <c r="U243" s="407"/>
      <c r="V243" s="408"/>
      <c r="W243" s="405"/>
      <c r="X243" s="406"/>
      <c r="Y243" s="384"/>
      <c r="Z243" s="384"/>
      <c r="AA243" s="384"/>
      <c r="AB243" s="384"/>
      <c r="AC243" s="384"/>
    </row>
    <row r="244" spans="1:29" ht="91.8">
      <c r="A244" s="441" t="s">
        <v>1617</v>
      </c>
      <c r="B244" s="410" t="s">
        <v>1222</v>
      </c>
      <c r="C244" s="410" t="s">
        <v>1639</v>
      </c>
      <c r="D244" s="403">
        <v>75</v>
      </c>
      <c r="E244" s="402">
        <v>70</v>
      </c>
      <c r="F244" s="402">
        <v>60</v>
      </c>
      <c r="G244" s="402">
        <v>30</v>
      </c>
      <c r="H244" s="402">
        <v>4</v>
      </c>
      <c r="I244" s="402">
        <v>2</v>
      </c>
      <c r="J244" s="402" t="s">
        <v>1137</v>
      </c>
      <c r="K244" s="402">
        <v>35</v>
      </c>
      <c r="L244" s="402" t="s">
        <v>1138</v>
      </c>
      <c r="M244" s="403" t="s">
        <v>419</v>
      </c>
      <c r="N244" s="402" t="s">
        <v>1139</v>
      </c>
      <c r="O244" s="411"/>
      <c r="P244" s="405" t="s">
        <v>1142</v>
      </c>
      <c r="Q244" s="405"/>
      <c r="R244" s="407"/>
      <c r="S244" s="405"/>
      <c r="T244" s="405"/>
      <c r="U244" s="407"/>
      <c r="V244" s="408"/>
      <c r="W244" s="405"/>
      <c r="X244" s="406"/>
      <c r="Y244" s="384"/>
      <c r="Z244" s="384"/>
      <c r="AA244" s="384"/>
      <c r="AB244" s="384"/>
      <c r="AC244" s="384"/>
    </row>
    <row r="245" spans="1:29" ht="14.4" thickBot="1">
      <c r="A245" s="441" t="s">
        <v>1617</v>
      </c>
      <c r="B245" s="410" t="s">
        <v>1286</v>
      </c>
      <c r="C245" s="410" t="s">
        <v>1640</v>
      </c>
      <c r="D245" s="403">
        <v>75</v>
      </c>
      <c r="E245" s="402">
        <v>70</v>
      </c>
      <c r="F245" s="402">
        <v>60</v>
      </c>
      <c r="G245" s="402">
        <v>30</v>
      </c>
      <c r="H245" s="402">
        <v>6</v>
      </c>
      <c r="I245" s="402">
        <v>2</v>
      </c>
      <c r="J245" s="402" t="s">
        <v>1137</v>
      </c>
      <c r="K245" s="402">
        <v>40</v>
      </c>
      <c r="L245" s="418" t="s">
        <v>1221</v>
      </c>
      <c r="M245" s="403" t="s">
        <v>419</v>
      </c>
      <c r="N245" s="402" t="s">
        <v>1139</v>
      </c>
      <c r="O245" s="411"/>
      <c r="P245" s="405"/>
      <c r="Q245" s="405"/>
      <c r="R245" s="407"/>
      <c r="S245" s="405"/>
      <c r="T245" s="405"/>
      <c r="U245" s="407"/>
      <c r="V245" s="408"/>
      <c r="W245" s="405"/>
      <c r="X245" s="406"/>
      <c r="Y245" s="379"/>
      <c r="Z245" s="379"/>
    </row>
    <row r="246" spans="1:29" ht="183.6">
      <c r="A246" s="400" t="s">
        <v>1641</v>
      </c>
      <c r="B246" s="401" t="s">
        <v>1642</v>
      </c>
      <c r="C246" s="402" t="s">
        <v>1643</v>
      </c>
      <c r="D246" s="403">
        <v>75</v>
      </c>
      <c r="E246" s="402">
        <v>70</v>
      </c>
      <c r="F246" s="402">
        <v>50</v>
      </c>
      <c r="G246" s="402">
        <v>30</v>
      </c>
      <c r="H246" s="402">
        <v>6</v>
      </c>
      <c r="I246" s="402">
        <v>2</v>
      </c>
      <c r="J246" s="402" t="s">
        <v>1644</v>
      </c>
      <c r="K246" s="402">
        <v>40</v>
      </c>
      <c r="L246" s="418" t="s">
        <v>1138</v>
      </c>
      <c r="M246" s="403" t="s">
        <v>419</v>
      </c>
      <c r="N246" s="402" t="s">
        <v>1139</v>
      </c>
      <c r="O246" s="401"/>
      <c r="P246" s="405" t="s">
        <v>1645</v>
      </c>
      <c r="Q246" s="405"/>
      <c r="R246" s="407"/>
      <c r="S246" s="405"/>
      <c r="T246" s="405"/>
      <c r="U246" s="442"/>
      <c r="V246" s="405"/>
      <c r="W246" s="405"/>
      <c r="X246" s="406"/>
      <c r="Y246" s="379"/>
      <c r="Z246" s="379"/>
    </row>
    <row r="247" spans="1:29" ht="183.6">
      <c r="A247" s="400" t="s">
        <v>1641</v>
      </c>
      <c r="B247" s="401" t="s">
        <v>1646</v>
      </c>
      <c r="C247" s="402" t="s">
        <v>1647</v>
      </c>
      <c r="D247" s="403">
        <v>68</v>
      </c>
      <c r="E247" s="402">
        <v>70</v>
      </c>
      <c r="F247" s="402">
        <v>50</v>
      </c>
      <c r="G247" s="402">
        <v>40</v>
      </c>
      <c r="H247" s="402">
        <v>12</v>
      </c>
      <c r="I247" s="402">
        <v>2</v>
      </c>
      <c r="J247" s="402" t="s">
        <v>1648</v>
      </c>
      <c r="K247" s="402">
        <v>35</v>
      </c>
      <c r="L247" s="418" t="s">
        <v>1138</v>
      </c>
      <c r="M247" s="403" t="s">
        <v>419</v>
      </c>
      <c r="N247" s="402" t="s">
        <v>1139</v>
      </c>
      <c r="O247" s="401"/>
      <c r="P247" s="405" t="s">
        <v>1645</v>
      </c>
      <c r="Q247" s="405" t="s">
        <v>1649</v>
      </c>
      <c r="R247" s="407" t="s">
        <v>1650</v>
      </c>
      <c r="S247" s="405" t="s">
        <v>1651</v>
      </c>
      <c r="T247" s="405" t="s">
        <v>1652</v>
      </c>
      <c r="U247" s="407" t="s">
        <v>1653</v>
      </c>
      <c r="V247" s="405" t="s">
        <v>1654</v>
      </c>
      <c r="W247" s="405"/>
      <c r="X247" s="406"/>
      <c r="Y247" s="384"/>
      <c r="Z247" s="384"/>
      <c r="AA247" s="384"/>
      <c r="AB247" s="384"/>
      <c r="AC247" s="384"/>
    </row>
    <row r="248" spans="1:29" ht="316.2">
      <c r="A248" s="400" t="s">
        <v>1641</v>
      </c>
      <c r="B248" s="401" t="s">
        <v>1655</v>
      </c>
      <c r="C248" s="402" t="s">
        <v>1656</v>
      </c>
      <c r="D248" s="443">
        <v>70</v>
      </c>
      <c r="E248" s="402">
        <v>70</v>
      </c>
      <c r="F248" s="402">
        <v>60</v>
      </c>
      <c r="G248" s="402">
        <v>40</v>
      </c>
      <c r="H248" s="402">
        <v>6</v>
      </c>
      <c r="I248" s="402">
        <v>2</v>
      </c>
      <c r="J248" s="402" t="s">
        <v>1137</v>
      </c>
      <c r="K248" s="402">
        <v>40</v>
      </c>
      <c r="L248" s="418" t="s">
        <v>1138</v>
      </c>
      <c r="M248" s="403" t="s">
        <v>419</v>
      </c>
      <c r="N248" s="402" t="s">
        <v>1112</v>
      </c>
      <c r="O248" s="401"/>
      <c r="P248" s="405" t="s">
        <v>1657</v>
      </c>
      <c r="Q248" s="405"/>
      <c r="R248" s="407"/>
      <c r="S248" s="405"/>
      <c r="T248" s="405"/>
      <c r="U248" s="408"/>
      <c r="V248" s="408"/>
      <c r="W248" s="405"/>
      <c r="X248" s="406"/>
      <c r="Y248" s="384"/>
      <c r="Z248" s="384"/>
      <c r="AA248" s="384"/>
      <c r="AB248" s="384"/>
      <c r="AC248" s="384"/>
    </row>
    <row r="249" spans="1:29">
      <c r="A249" s="400" t="s">
        <v>1641</v>
      </c>
      <c r="B249" s="401" t="s">
        <v>1658</v>
      </c>
      <c r="C249" s="402" t="s">
        <v>1659</v>
      </c>
      <c r="D249" s="403">
        <v>75</v>
      </c>
      <c r="E249" s="402">
        <v>70</v>
      </c>
      <c r="F249" s="402">
        <v>50</v>
      </c>
      <c r="G249" s="402">
        <v>40</v>
      </c>
      <c r="H249" s="402">
        <v>6</v>
      </c>
      <c r="I249" s="402">
        <v>2</v>
      </c>
      <c r="J249" s="402" t="s">
        <v>1137</v>
      </c>
      <c r="K249" s="402">
        <v>40</v>
      </c>
      <c r="L249" s="418" t="s">
        <v>1138</v>
      </c>
      <c r="M249" s="403" t="s">
        <v>419</v>
      </c>
      <c r="N249" s="402" t="s">
        <v>1139</v>
      </c>
      <c r="O249" s="401"/>
      <c r="P249" s="405"/>
      <c r="Q249" s="405"/>
      <c r="R249" s="407"/>
      <c r="S249" s="405"/>
      <c r="T249" s="405"/>
      <c r="U249" s="408"/>
      <c r="V249" s="408"/>
      <c r="W249" s="405"/>
      <c r="X249" s="406"/>
      <c r="Y249" s="384"/>
      <c r="Z249" s="384"/>
      <c r="AA249" s="384"/>
      <c r="AB249" s="384"/>
      <c r="AC249" s="384"/>
    </row>
    <row r="250" spans="1:29">
      <c r="A250" s="400" t="s">
        <v>1660</v>
      </c>
      <c r="B250" s="401" t="s">
        <v>1661</v>
      </c>
      <c r="C250" s="402" t="s">
        <v>1662</v>
      </c>
      <c r="D250" s="403">
        <v>70</v>
      </c>
      <c r="E250" s="402">
        <v>70</v>
      </c>
      <c r="F250" s="402">
        <v>50</v>
      </c>
      <c r="G250" s="402">
        <v>30</v>
      </c>
      <c r="H250" s="402">
        <v>6</v>
      </c>
      <c r="I250" s="402">
        <v>2</v>
      </c>
      <c r="J250" s="402" t="s">
        <v>1137</v>
      </c>
      <c r="K250" s="402">
        <v>35</v>
      </c>
      <c r="L250" s="418" t="s">
        <v>1138</v>
      </c>
      <c r="M250" s="403" t="s">
        <v>419</v>
      </c>
      <c r="N250" s="402" t="s">
        <v>1112</v>
      </c>
      <c r="O250" s="401"/>
      <c r="P250" s="405"/>
      <c r="Q250" s="405"/>
      <c r="R250" s="407"/>
      <c r="S250" s="405"/>
      <c r="T250" s="405"/>
      <c r="U250" s="407"/>
      <c r="V250" s="408"/>
      <c r="W250" s="405"/>
      <c r="X250" s="406"/>
      <c r="Y250" s="379"/>
      <c r="Z250" s="379"/>
    </row>
    <row r="251" spans="1:29" ht="132.6">
      <c r="A251" s="400" t="s">
        <v>1660</v>
      </c>
      <c r="B251" s="401" t="s">
        <v>1663</v>
      </c>
      <c r="C251" s="402" t="s">
        <v>1664</v>
      </c>
      <c r="D251" s="403">
        <v>75</v>
      </c>
      <c r="E251" s="402">
        <v>70</v>
      </c>
      <c r="F251" s="402">
        <v>50</v>
      </c>
      <c r="G251" s="402">
        <v>30</v>
      </c>
      <c r="H251" s="402">
        <v>6</v>
      </c>
      <c r="I251" s="402">
        <v>2</v>
      </c>
      <c r="J251" s="402" t="s">
        <v>1123</v>
      </c>
      <c r="K251" s="402">
        <v>35</v>
      </c>
      <c r="L251" s="402" t="s">
        <v>1124</v>
      </c>
      <c r="M251" s="403" t="s">
        <v>419</v>
      </c>
      <c r="N251" s="402" t="s">
        <v>1112</v>
      </c>
      <c r="O251" s="401"/>
      <c r="P251" s="405" t="s">
        <v>1665</v>
      </c>
      <c r="Q251" s="405" t="s">
        <v>1666</v>
      </c>
      <c r="R251" s="407" t="s">
        <v>1667</v>
      </c>
      <c r="S251" s="405"/>
      <c r="T251" s="405"/>
      <c r="U251" s="407"/>
      <c r="V251" s="408"/>
      <c r="W251" s="405"/>
      <c r="X251" s="406"/>
      <c r="Y251" s="379"/>
      <c r="Z251" s="379"/>
    </row>
    <row r="252" spans="1:29" ht="153">
      <c r="A252" s="400" t="s">
        <v>1660</v>
      </c>
      <c r="B252" s="401" t="s">
        <v>1668</v>
      </c>
      <c r="C252" s="402" t="s">
        <v>1669</v>
      </c>
      <c r="D252" s="403">
        <v>75</v>
      </c>
      <c r="E252" s="402">
        <v>70</v>
      </c>
      <c r="F252" s="402">
        <v>60</v>
      </c>
      <c r="G252" s="402">
        <v>30</v>
      </c>
      <c r="H252" s="402">
        <v>6</v>
      </c>
      <c r="I252" s="402">
        <v>2</v>
      </c>
      <c r="J252" s="402" t="s">
        <v>1123</v>
      </c>
      <c r="K252" s="402">
        <v>35</v>
      </c>
      <c r="L252" s="402" t="s">
        <v>1124</v>
      </c>
      <c r="M252" s="403" t="s">
        <v>419</v>
      </c>
      <c r="N252" s="402" t="s">
        <v>1112</v>
      </c>
      <c r="O252" s="401"/>
      <c r="P252" s="405" t="s">
        <v>1670</v>
      </c>
      <c r="Q252" s="405" t="s">
        <v>1671</v>
      </c>
      <c r="R252" s="407" t="s">
        <v>1672</v>
      </c>
      <c r="S252" s="405"/>
      <c r="T252" s="405"/>
      <c r="U252" s="407"/>
      <c r="V252" s="408"/>
      <c r="W252" s="405"/>
      <c r="X252" s="406"/>
      <c r="Y252" s="384"/>
      <c r="Z252" s="384"/>
      <c r="AA252" s="384"/>
      <c r="AB252" s="384"/>
      <c r="AC252" s="384"/>
    </row>
    <row r="253" spans="1:29" ht="71.400000000000006">
      <c r="A253" s="400" t="s">
        <v>1660</v>
      </c>
      <c r="B253" s="401" t="s">
        <v>1673</v>
      </c>
      <c r="C253" s="402" t="s">
        <v>1674</v>
      </c>
      <c r="D253" s="403">
        <v>75</v>
      </c>
      <c r="E253" s="402">
        <v>70</v>
      </c>
      <c r="F253" s="402">
        <v>50</v>
      </c>
      <c r="G253" s="402">
        <v>30</v>
      </c>
      <c r="H253" s="402">
        <v>6</v>
      </c>
      <c r="I253" s="402">
        <v>2</v>
      </c>
      <c r="J253" s="402" t="s">
        <v>1123</v>
      </c>
      <c r="K253" s="402">
        <v>35</v>
      </c>
      <c r="L253" s="402" t="s">
        <v>1124</v>
      </c>
      <c r="M253" s="403" t="s">
        <v>419</v>
      </c>
      <c r="N253" s="402" t="s">
        <v>1112</v>
      </c>
      <c r="O253" s="401"/>
      <c r="P253" s="405" t="s">
        <v>1665</v>
      </c>
      <c r="Q253" s="405" t="s">
        <v>1675</v>
      </c>
      <c r="R253" s="407"/>
      <c r="S253" s="405"/>
      <c r="T253" s="405"/>
      <c r="U253" s="407"/>
      <c r="V253" s="408"/>
      <c r="W253" s="405"/>
      <c r="X253" s="406"/>
      <c r="Y253" s="384"/>
      <c r="Z253" s="384"/>
      <c r="AA253" s="384"/>
      <c r="AB253" s="384"/>
      <c r="AC253" s="384"/>
    </row>
    <row r="254" spans="1:29">
      <c r="A254" s="400" t="s">
        <v>1660</v>
      </c>
      <c r="B254" s="401" t="s">
        <v>1676</v>
      </c>
      <c r="C254" s="402" t="s">
        <v>1677</v>
      </c>
      <c r="D254" s="403">
        <v>70</v>
      </c>
      <c r="E254" s="402">
        <v>70</v>
      </c>
      <c r="F254" s="402">
        <v>55</v>
      </c>
      <c r="G254" s="402">
        <v>40</v>
      </c>
      <c r="H254" s="402">
        <v>6</v>
      </c>
      <c r="I254" s="402">
        <v>2</v>
      </c>
      <c r="J254" s="402" t="s">
        <v>1123</v>
      </c>
      <c r="K254" s="402">
        <v>35</v>
      </c>
      <c r="L254" s="402" t="s">
        <v>1145</v>
      </c>
      <c r="M254" s="403" t="s">
        <v>419</v>
      </c>
      <c r="N254" s="402" t="s">
        <v>1139</v>
      </c>
      <c r="O254" s="401"/>
      <c r="P254" s="405"/>
      <c r="Q254" s="405"/>
      <c r="R254" s="407"/>
      <c r="S254" s="405"/>
      <c r="T254" s="405"/>
      <c r="U254" s="407"/>
      <c r="V254" s="408"/>
      <c r="W254" s="405"/>
      <c r="X254" s="406"/>
      <c r="Y254" s="379"/>
      <c r="Z254" s="379"/>
    </row>
    <row r="255" spans="1:29" ht="132.6">
      <c r="A255" s="400" t="s">
        <v>1660</v>
      </c>
      <c r="B255" s="401" t="s">
        <v>1678</v>
      </c>
      <c r="C255" s="402" t="s">
        <v>1679</v>
      </c>
      <c r="D255" s="403">
        <v>70</v>
      </c>
      <c r="E255" s="402">
        <v>70</v>
      </c>
      <c r="F255" s="402">
        <v>55</v>
      </c>
      <c r="G255" s="402">
        <v>40</v>
      </c>
      <c r="H255" s="402">
        <v>12</v>
      </c>
      <c r="I255" s="402">
        <v>2</v>
      </c>
      <c r="J255" s="402" t="s">
        <v>1123</v>
      </c>
      <c r="K255" s="402">
        <v>35</v>
      </c>
      <c r="L255" s="402" t="s">
        <v>1124</v>
      </c>
      <c r="M255" s="403" t="s">
        <v>419</v>
      </c>
      <c r="N255" s="402" t="s">
        <v>1139</v>
      </c>
      <c r="O255" s="401"/>
      <c r="P255" s="405" t="s">
        <v>1680</v>
      </c>
      <c r="Q255" s="405" t="s">
        <v>1666</v>
      </c>
      <c r="R255" s="407"/>
      <c r="S255" s="405"/>
      <c r="T255" s="405"/>
      <c r="U255" s="407"/>
      <c r="V255" s="408"/>
      <c r="W255" s="405"/>
      <c r="X255" s="406"/>
      <c r="Y255" s="379"/>
      <c r="Z255" s="379"/>
    </row>
    <row r="256" spans="1:29" ht="387.6">
      <c r="A256" s="400" t="s">
        <v>1660</v>
      </c>
      <c r="B256" s="401" t="s">
        <v>1655</v>
      </c>
      <c r="C256" s="402" t="s">
        <v>1681</v>
      </c>
      <c r="D256" s="403">
        <v>70</v>
      </c>
      <c r="E256" s="402">
        <v>70</v>
      </c>
      <c r="F256" s="402">
        <v>50</v>
      </c>
      <c r="G256" s="402">
        <v>40</v>
      </c>
      <c r="H256" s="402">
        <v>6</v>
      </c>
      <c r="I256" s="402">
        <v>2</v>
      </c>
      <c r="J256" s="402" t="s">
        <v>1123</v>
      </c>
      <c r="K256" s="402">
        <v>40</v>
      </c>
      <c r="L256" s="402" t="s">
        <v>1145</v>
      </c>
      <c r="M256" s="403" t="s">
        <v>419</v>
      </c>
      <c r="N256" s="402" t="s">
        <v>1139</v>
      </c>
      <c r="O256" s="401"/>
      <c r="P256" s="405" t="s">
        <v>1682</v>
      </c>
      <c r="Q256" s="405"/>
      <c r="R256" s="407"/>
      <c r="S256" s="405"/>
      <c r="T256" s="405"/>
      <c r="U256" s="407"/>
      <c r="V256" s="408"/>
      <c r="W256" s="405"/>
      <c r="X256" s="406"/>
      <c r="Y256" s="379"/>
      <c r="Z256" s="379"/>
    </row>
    <row r="257" spans="1:26" ht="30.6">
      <c r="A257" s="400" t="s">
        <v>1683</v>
      </c>
      <c r="B257" s="401" t="s">
        <v>1668</v>
      </c>
      <c r="C257" s="402" t="s">
        <v>1684</v>
      </c>
      <c r="D257" s="403">
        <v>75</v>
      </c>
      <c r="E257" s="402">
        <v>70</v>
      </c>
      <c r="F257" s="402">
        <v>60</v>
      </c>
      <c r="G257" s="402">
        <v>30</v>
      </c>
      <c r="H257" s="402">
        <v>10</v>
      </c>
      <c r="I257" s="402">
        <v>2</v>
      </c>
      <c r="J257" s="402" t="s">
        <v>1123</v>
      </c>
      <c r="K257" s="402">
        <v>40</v>
      </c>
      <c r="L257" s="402" t="s">
        <v>1124</v>
      </c>
      <c r="M257" s="403" t="s">
        <v>419</v>
      </c>
      <c r="N257" s="402" t="s">
        <v>1139</v>
      </c>
      <c r="O257" s="401"/>
      <c r="P257" s="405" t="s">
        <v>1680</v>
      </c>
      <c r="Q257" s="405"/>
      <c r="R257" s="407"/>
      <c r="S257" s="405"/>
      <c r="T257" s="405"/>
      <c r="U257" s="407"/>
      <c r="V257" s="408"/>
      <c r="W257" s="405"/>
      <c r="X257" s="406"/>
      <c r="Y257" s="379"/>
      <c r="Z257" s="379"/>
    </row>
    <row r="258" spans="1:26">
      <c r="A258" s="400" t="s">
        <v>1685</v>
      </c>
      <c r="B258" s="401" t="s">
        <v>1686</v>
      </c>
      <c r="C258" s="402" t="s">
        <v>1687</v>
      </c>
      <c r="D258" s="403">
        <v>75</v>
      </c>
      <c r="E258" s="402">
        <v>70</v>
      </c>
      <c r="F258" s="402">
        <v>60</v>
      </c>
      <c r="G258" s="402">
        <v>30</v>
      </c>
      <c r="H258" s="402">
        <v>6</v>
      </c>
      <c r="I258" s="402">
        <v>2</v>
      </c>
      <c r="J258" s="402" t="s">
        <v>1137</v>
      </c>
      <c r="K258" s="402">
        <v>35</v>
      </c>
      <c r="L258" s="402" t="s">
        <v>1138</v>
      </c>
      <c r="M258" s="403" t="s">
        <v>419</v>
      </c>
      <c r="N258" s="402" t="s">
        <v>1112</v>
      </c>
      <c r="O258" s="401"/>
      <c r="P258" s="405"/>
      <c r="Q258" s="405"/>
      <c r="R258" s="407"/>
      <c r="S258" s="405"/>
      <c r="T258" s="405"/>
      <c r="U258" s="407"/>
      <c r="V258" s="408"/>
      <c r="W258" s="405"/>
      <c r="X258" s="406"/>
      <c r="Y258" s="379"/>
      <c r="Z258" s="379"/>
    </row>
    <row r="259" spans="1:26">
      <c r="A259" s="400" t="s">
        <v>1685</v>
      </c>
      <c r="B259" s="401" t="s">
        <v>1688</v>
      </c>
      <c r="C259" s="402" t="s">
        <v>1689</v>
      </c>
      <c r="D259" s="403">
        <v>75</v>
      </c>
      <c r="E259" s="402">
        <v>70</v>
      </c>
      <c r="F259" s="402">
        <v>60</v>
      </c>
      <c r="G259" s="402">
        <v>30</v>
      </c>
      <c r="H259" s="402">
        <v>6</v>
      </c>
      <c r="I259" s="402">
        <v>2</v>
      </c>
      <c r="J259" s="402" t="s">
        <v>1137</v>
      </c>
      <c r="K259" s="402">
        <v>35</v>
      </c>
      <c r="L259" s="402" t="s">
        <v>1138</v>
      </c>
      <c r="M259" s="403" t="s">
        <v>419</v>
      </c>
      <c r="N259" s="402" t="s">
        <v>1112</v>
      </c>
      <c r="O259" s="401"/>
      <c r="P259" s="405"/>
      <c r="Q259" s="405"/>
      <c r="R259" s="407"/>
      <c r="S259" s="405"/>
      <c r="T259" s="405"/>
      <c r="U259" s="407"/>
      <c r="V259" s="408"/>
      <c r="W259" s="405"/>
      <c r="X259" s="406"/>
      <c r="Y259" s="379"/>
      <c r="Z259" s="379"/>
    </row>
    <row r="260" spans="1:26">
      <c r="A260" s="400" t="s">
        <v>1685</v>
      </c>
      <c r="B260" s="401" t="s">
        <v>1690</v>
      </c>
      <c r="C260" s="402" t="s">
        <v>1691</v>
      </c>
      <c r="D260" s="403">
        <v>75</v>
      </c>
      <c r="E260" s="402">
        <v>70</v>
      </c>
      <c r="F260" s="402">
        <v>60</v>
      </c>
      <c r="G260" s="402">
        <v>30</v>
      </c>
      <c r="H260" s="402">
        <v>8</v>
      </c>
      <c r="I260" s="402">
        <v>2</v>
      </c>
      <c r="J260" s="402" t="s">
        <v>1137</v>
      </c>
      <c r="K260" s="402">
        <v>35</v>
      </c>
      <c r="L260" s="418" t="s">
        <v>1138</v>
      </c>
      <c r="M260" s="403" t="s">
        <v>419</v>
      </c>
      <c r="N260" s="402" t="s">
        <v>1112</v>
      </c>
      <c r="O260" s="401"/>
      <c r="P260" s="405"/>
      <c r="Q260" s="405"/>
      <c r="R260" s="407"/>
      <c r="S260" s="405"/>
      <c r="T260" s="405"/>
      <c r="U260" s="407"/>
      <c r="V260" s="408"/>
      <c r="W260" s="405"/>
      <c r="X260" s="406"/>
      <c r="Y260" s="379"/>
      <c r="Z260" s="379"/>
    </row>
    <row r="261" spans="1:26">
      <c r="A261" s="400" t="s">
        <v>1685</v>
      </c>
      <c r="B261" s="401" t="s">
        <v>1692</v>
      </c>
      <c r="C261" s="402" t="s">
        <v>1693</v>
      </c>
      <c r="D261" s="403">
        <v>75</v>
      </c>
      <c r="E261" s="402">
        <v>70</v>
      </c>
      <c r="F261" s="402">
        <v>60</v>
      </c>
      <c r="G261" s="402">
        <v>30</v>
      </c>
      <c r="H261" s="402">
        <v>8</v>
      </c>
      <c r="I261" s="402">
        <v>2</v>
      </c>
      <c r="J261" s="402" t="s">
        <v>1137</v>
      </c>
      <c r="K261" s="402">
        <v>35</v>
      </c>
      <c r="L261" s="402" t="s">
        <v>1138</v>
      </c>
      <c r="M261" s="403" t="s">
        <v>419</v>
      </c>
      <c r="N261" s="402" t="s">
        <v>1112</v>
      </c>
      <c r="O261" s="401"/>
      <c r="P261" s="405"/>
      <c r="Q261" s="405"/>
      <c r="R261" s="407"/>
      <c r="S261" s="405"/>
      <c r="T261" s="405"/>
      <c r="U261" s="407"/>
      <c r="V261" s="408"/>
      <c r="W261" s="405"/>
      <c r="X261" s="406"/>
      <c r="Y261" s="379"/>
      <c r="Z261" s="379"/>
    </row>
    <row r="262" spans="1:26" ht="20.399999999999999">
      <c r="A262" s="400" t="s">
        <v>1685</v>
      </c>
      <c r="B262" s="401" t="s">
        <v>1694</v>
      </c>
      <c r="C262" s="402" t="s">
        <v>1695</v>
      </c>
      <c r="D262" s="403">
        <v>75</v>
      </c>
      <c r="E262" s="402">
        <v>70</v>
      </c>
      <c r="F262" s="402">
        <v>60</v>
      </c>
      <c r="G262" s="402">
        <v>30</v>
      </c>
      <c r="H262" s="402">
        <v>6</v>
      </c>
      <c r="I262" s="402">
        <v>2</v>
      </c>
      <c r="J262" s="402" t="s">
        <v>1137</v>
      </c>
      <c r="K262" s="402">
        <v>35</v>
      </c>
      <c r="L262" s="402" t="s">
        <v>1138</v>
      </c>
      <c r="M262" s="403" t="s">
        <v>419</v>
      </c>
      <c r="N262" s="402" t="s">
        <v>1112</v>
      </c>
      <c r="O262" s="401"/>
      <c r="P262" s="405"/>
      <c r="Q262" s="405"/>
      <c r="R262" s="407"/>
      <c r="S262" s="405"/>
      <c r="T262" s="405"/>
      <c r="U262" s="407"/>
      <c r="V262" s="408"/>
      <c r="W262" s="405"/>
      <c r="X262" s="406"/>
      <c r="Y262" s="379"/>
      <c r="Z262" s="379"/>
    </row>
    <row r="263" spans="1:26" ht="40.799999999999997">
      <c r="A263" s="400" t="s">
        <v>1685</v>
      </c>
      <c r="B263" s="401" t="s">
        <v>1696</v>
      </c>
      <c r="C263" s="402" t="s">
        <v>1697</v>
      </c>
      <c r="D263" s="419">
        <v>75</v>
      </c>
      <c r="E263" s="420">
        <v>70</v>
      </c>
      <c r="F263" s="420">
        <v>60</v>
      </c>
      <c r="G263" s="420">
        <v>30</v>
      </c>
      <c r="H263" s="420">
        <v>8</v>
      </c>
      <c r="I263" s="420">
        <v>2</v>
      </c>
      <c r="J263" s="420" t="s">
        <v>1137</v>
      </c>
      <c r="K263" s="420">
        <v>35</v>
      </c>
      <c r="L263" s="402" t="s">
        <v>1138</v>
      </c>
      <c r="M263" s="419" t="s">
        <v>419</v>
      </c>
      <c r="N263" s="420" t="s">
        <v>1112</v>
      </c>
      <c r="O263" s="401"/>
      <c r="P263" s="405" t="s">
        <v>1698</v>
      </c>
      <c r="Q263" s="405"/>
      <c r="R263" s="407"/>
      <c r="S263" s="405"/>
      <c r="T263" s="405"/>
      <c r="U263" s="407"/>
      <c r="V263" s="408"/>
      <c r="W263" s="405"/>
      <c r="X263" s="406"/>
      <c r="Y263" s="379"/>
      <c r="Z263" s="379"/>
    </row>
    <row r="264" spans="1:26">
      <c r="A264" s="400" t="s">
        <v>1685</v>
      </c>
      <c r="B264" s="401" t="s">
        <v>1699</v>
      </c>
      <c r="C264" s="402" t="s">
        <v>1700</v>
      </c>
      <c r="D264" s="403">
        <v>75</v>
      </c>
      <c r="E264" s="402">
        <v>70</v>
      </c>
      <c r="F264" s="402">
        <v>60</v>
      </c>
      <c r="G264" s="402">
        <v>30</v>
      </c>
      <c r="H264" s="402">
        <v>6</v>
      </c>
      <c r="I264" s="402">
        <v>2</v>
      </c>
      <c r="J264" s="402" t="s">
        <v>1137</v>
      </c>
      <c r="K264" s="402">
        <v>35</v>
      </c>
      <c r="L264" s="402" t="s">
        <v>1138</v>
      </c>
      <c r="M264" s="403" t="s">
        <v>419</v>
      </c>
      <c r="N264" s="402" t="s">
        <v>1112</v>
      </c>
      <c r="O264" s="421"/>
      <c r="P264" s="405"/>
      <c r="Q264" s="405"/>
      <c r="R264" s="407"/>
      <c r="S264" s="405"/>
      <c r="T264" s="405"/>
      <c r="U264" s="407"/>
      <c r="V264" s="408"/>
      <c r="W264" s="405"/>
      <c r="X264" s="406"/>
      <c r="Y264" s="379"/>
      <c r="Z264" s="379"/>
    </row>
    <row r="265" spans="1:26">
      <c r="A265" s="400" t="s">
        <v>1685</v>
      </c>
      <c r="B265" s="401" t="s">
        <v>1701</v>
      </c>
      <c r="C265" s="402" t="s">
        <v>1702</v>
      </c>
      <c r="D265" s="403">
        <v>75</v>
      </c>
      <c r="E265" s="402">
        <v>70</v>
      </c>
      <c r="F265" s="402">
        <v>60</v>
      </c>
      <c r="G265" s="402">
        <v>30</v>
      </c>
      <c r="H265" s="402">
        <v>6</v>
      </c>
      <c r="I265" s="402">
        <v>2</v>
      </c>
      <c r="J265" s="402" t="s">
        <v>1137</v>
      </c>
      <c r="K265" s="402">
        <v>35</v>
      </c>
      <c r="L265" s="402" t="s">
        <v>1138</v>
      </c>
      <c r="M265" s="403" t="s">
        <v>419</v>
      </c>
      <c r="N265" s="402" t="s">
        <v>1112</v>
      </c>
      <c r="O265" s="421"/>
      <c r="P265" s="405"/>
      <c r="Q265" s="405"/>
      <c r="R265" s="407"/>
      <c r="S265" s="405"/>
      <c r="T265" s="405"/>
      <c r="U265" s="407"/>
      <c r="V265" s="408"/>
      <c r="W265" s="405"/>
      <c r="X265" s="406"/>
      <c r="Y265" s="379"/>
      <c r="Z265" s="379"/>
    </row>
    <row r="266" spans="1:26">
      <c r="A266" s="400" t="s">
        <v>1685</v>
      </c>
      <c r="B266" s="401" t="s">
        <v>1703</v>
      </c>
      <c r="C266" s="402" t="s">
        <v>1704</v>
      </c>
      <c r="D266" s="403">
        <v>75</v>
      </c>
      <c r="E266" s="402">
        <v>70</v>
      </c>
      <c r="F266" s="402">
        <v>60</v>
      </c>
      <c r="G266" s="402">
        <v>30</v>
      </c>
      <c r="H266" s="402">
        <v>15</v>
      </c>
      <c r="I266" s="402">
        <v>2</v>
      </c>
      <c r="J266" s="402" t="s">
        <v>1137</v>
      </c>
      <c r="K266" s="402">
        <v>35</v>
      </c>
      <c r="L266" s="402" t="s">
        <v>1138</v>
      </c>
      <c r="M266" s="403" t="s">
        <v>419</v>
      </c>
      <c r="N266" s="402" t="s">
        <v>1112</v>
      </c>
      <c r="O266" s="421"/>
      <c r="P266" s="405"/>
      <c r="Q266" s="405"/>
      <c r="R266" s="407"/>
      <c r="S266" s="405"/>
      <c r="T266" s="405"/>
      <c r="U266" s="407"/>
      <c r="V266" s="408"/>
      <c r="W266" s="405"/>
      <c r="X266" s="406"/>
      <c r="Y266" s="379"/>
      <c r="Z266" s="379"/>
    </row>
    <row r="267" spans="1:26">
      <c r="A267" s="400" t="s">
        <v>1685</v>
      </c>
      <c r="B267" s="401" t="s">
        <v>1705</v>
      </c>
      <c r="C267" s="402" t="s">
        <v>1706</v>
      </c>
      <c r="D267" s="403">
        <v>66</v>
      </c>
      <c r="E267" s="402">
        <v>75</v>
      </c>
      <c r="F267" s="402">
        <v>60</v>
      </c>
      <c r="G267" s="402">
        <v>30</v>
      </c>
      <c r="H267" s="402">
        <v>20</v>
      </c>
      <c r="I267" s="402">
        <v>4</v>
      </c>
      <c r="J267" s="402" t="s">
        <v>1137</v>
      </c>
      <c r="K267" s="402">
        <v>35</v>
      </c>
      <c r="L267" s="402" t="s">
        <v>1145</v>
      </c>
      <c r="M267" s="403" t="s">
        <v>419</v>
      </c>
      <c r="N267" s="402" t="s">
        <v>1112</v>
      </c>
      <c r="O267" s="421"/>
      <c r="P267" s="405"/>
      <c r="Q267" s="405"/>
      <c r="R267" s="407"/>
      <c r="S267" s="405"/>
      <c r="T267" s="405"/>
      <c r="U267" s="407"/>
      <c r="V267" s="408"/>
      <c r="W267" s="405"/>
      <c r="X267" s="406"/>
      <c r="Y267" s="379"/>
      <c r="Z267" s="379"/>
    </row>
    <row r="268" spans="1:26">
      <c r="A268" s="400" t="s">
        <v>1685</v>
      </c>
      <c r="B268" s="401" t="s">
        <v>1707</v>
      </c>
      <c r="C268" s="402" t="s">
        <v>1708</v>
      </c>
      <c r="D268" s="403">
        <v>70</v>
      </c>
      <c r="E268" s="402">
        <v>70</v>
      </c>
      <c r="F268" s="402">
        <v>60</v>
      </c>
      <c r="G268" s="402">
        <v>30</v>
      </c>
      <c r="H268" s="402">
        <v>6</v>
      </c>
      <c r="I268" s="402">
        <v>2</v>
      </c>
      <c r="J268" s="402" t="s">
        <v>1137</v>
      </c>
      <c r="K268" s="402">
        <v>35</v>
      </c>
      <c r="L268" s="402" t="s">
        <v>1138</v>
      </c>
      <c r="M268" s="403" t="s">
        <v>419</v>
      </c>
      <c r="N268" s="402" t="s">
        <v>1112</v>
      </c>
      <c r="O268" s="421"/>
      <c r="P268" s="405"/>
      <c r="Q268" s="405"/>
      <c r="R268" s="407"/>
      <c r="S268" s="405"/>
      <c r="T268" s="405"/>
      <c r="U268" s="407"/>
      <c r="V268" s="408"/>
      <c r="W268" s="405"/>
      <c r="X268" s="406"/>
      <c r="Y268" s="379"/>
      <c r="Z268" s="379"/>
    </row>
    <row r="269" spans="1:26">
      <c r="A269" s="400" t="s">
        <v>1685</v>
      </c>
      <c r="B269" s="401" t="s">
        <v>1709</v>
      </c>
      <c r="C269" s="402" t="s">
        <v>1710</v>
      </c>
      <c r="D269" s="403">
        <v>75</v>
      </c>
      <c r="E269" s="402">
        <v>70</v>
      </c>
      <c r="F269" s="402">
        <v>60</v>
      </c>
      <c r="G269" s="402">
        <v>30</v>
      </c>
      <c r="H269" s="402">
        <v>6</v>
      </c>
      <c r="I269" s="402">
        <v>2</v>
      </c>
      <c r="J269" s="402" t="s">
        <v>1137</v>
      </c>
      <c r="K269" s="402">
        <v>35</v>
      </c>
      <c r="L269" s="402" t="s">
        <v>1138</v>
      </c>
      <c r="M269" s="403" t="s">
        <v>419</v>
      </c>
      <c r="N269" s="402" t="s">
        <v>1112</v>
      </c>
      <c r="O269" s="421"/>
      <c r="P269" s="405"/>
      <c r="Q269" s="405"/>
      <c r="R269" s="407"/>
      <c r="S269" s="405"/>
      <c r="T269" s="405"/>
      <c r="U269" s="407"/>
      <c r="V269" s="408"/>
      <c r="W269" s="405"/>
      <c r="X269" s="406"/>
      <c r="Y269" s="379"/>
      <c r="Z269" s="379"/>
    </row>
    <row r="270" spans="1:26">
      <c r="A270" s="400" t="s">
        <v>1685</v>
      </c>
      <c r="B270" s="401" t="s">
        <v>1711</v>
      </c>
      <c r="C270" s="402" t="s">
        <v>1712</v>
      </c>
      <c r="D270" s="403">
        <v>75</v>
      </c>
      <c r="E270" s="402">
        <v>70</v>
      </c>
      <c r="F270" s="402">
        <v>60</v>
      </c>
      <c r="G270" s="402">
        <v>30</v>
      </c>
      <c r="H270" s="402">
        <v>6</v>
      </c>
      <c r="I270" s="402">
        <v>2</v>
      </c>
      <c r="J270" s="402" t="s">
        <v>1137</v>
      </c>
      <c r="K270" s="402">
        <v>35</v>
      </c>
      <c r="L270" s="402" t="s">
        <v>1138</v>
      </c>
      <c r="M270" s="403" t="s">
        <v>419</v>
      </c>
      <c r="N270" s="402" t="s">
        <v>1112</v>
      </c>
      <c r="O270" s="421"/>
      <c r="P270" s="405"/>
      <c r="Q270" s="405"/>
      <c r="R270" s="407"/>
      <c r="S270" s="405"/>
      <c r="T270" s="405"/>
      <c r="U270" s="407"/>
      <c r="V270" s="408"/>
      <c r="W270" s="405"/>
      <c r="X270" s="406"/>
      <c r="Y270" s="379"/>
      <c r="Z270" s="379"/>
    </row>
    <row r="271" spans="1:26" ht="61.2">
      <c r="A271" s="400" t="s">
        <v>1685</v>
      </c>
      <c r="B271" s="401" t="s">
        <v>1711</v>
      </c>
      <c r="C271" s="402" t="s">
        <v>1713</v>
      </c>
      <c r="D271" s="403">
        <v>75</v>
      </c>
      <c r="E271" s="402">
        <v>70</v>
      </c>
      <c r="F271" s="402">
        <v>60</v>
      </c>
      <c r="G271" s="402">
        <v>30</v>
      </c>
      <c r="H271" s="402">
        <v>6</v>
      </c>
      <c r="I271" s="402">
        <v>2</v>
      </c>
      <c r="J271" s="402" t="s">
        <v>1137</v>
      </c>
      <c r="K271" s="402">
        <v>35</v>
      </c>
      <c r="L271" s="402" t="s">
        <v>1138</v>
      </c>
      <c r="M271" s="403" t="s">
        <v>419</v>
      </c>
      <c r="N271" s="402" t="s">
        <v>1112</v>
      </c>
      <c r="O271" s="421"/>
      <c r="P271" s="405" t="s">
        <v>1714</v>
      </c>
      <c r="Q271" s="405"/>
      <c r="R271" s="407"/>
      <c r="S271" s="405"/>
      <c r="T271" s="405"/>
      <c r="U271" s="407"/>
      <c r="V271" s="408"/>
      <c r="W271" s="405"/>
      <c r="X271" s="406"/>
      <c r="Y271" s="379"/>
      <c r="Z271" s="379"/>
    </row>
    <row r="272" spans="1:26">
      <c r="A272" s="400" t="s">
        <v>1685</v>
      </c>
      <c r="B272" s="401" t="s">
        <v>1715</v>
      </c>
      <c r="C272" s="402" t="s">
        <v>1716</v>
      </c>
      <c r="D272" s="403">
        <v>75</v>
      </c>
      <c r="E272" s="402">
        <v>70</v>
      </c>
      <c r="F272" s="402">
        <v>60</v>
      </c>
      <c r="G272" s="402">
        <v>30</v>
      </c>
      <c r="H272" s="402">
        <v>6</v>
      </c>
      <c r="I272" s="402">
        <v>2</v>
      </c>
      <c r="J272" s="402" t="s">
        <v>1137</v>
      </c>
      <c r="K272" s="402">
        <v>35</v>
      </c>
      <c r="L272" s="402" t="s">
        <v>1138</v>
      </c>
      <c r="M272" s="403" t="s">
        <v>419</v>
      </c>
      <c r="N272" s="402" t="s">
        <v>1112</v>
      </c>
      <c r="O272" s="421"/>
      <c r="P272" s="405"/>
      <c r="Q272" s="405"/>
      <c r="R272" s="407"/>
      <c r="S272" s="405"/>
      <c r="T272" s="405"/>
      <c r="U272" s="407"/>
      <c r="V272" s="408"/>
      <c r="W272" s="405"/>
      <c r="X272" s="406"/>
      <c r="Y272" s="379"/>
      <c r="Z272" s="379"/>
    </row>
    <row r="273" spans="1:26" ht="81.599999999999994">
      <c r="A273" s="400" t="s">
        <v>1685</v>
      </c>
      <c r="B273" s="401" t="s">
        <v>1717</v>
      </c>
      <c r="C273" s="402" t="s">
        <v>1718</v>
      </c>
      <c r="D273" s="425">
        <v>75</v>
      </c>
      <c r="E273" s="426">
        <v>70</v>
      </c>
      <c r="F273" s="426">
        <v>60</v>
      </c>
      <c r="G273" s="426">
        <v>30</v>
      </c>
      <c r="H273" s="426">
        <v>6</v>
      </c>
      <c r="I273" s="426">
        <v>2</v>
      </c>
      <c r="J273" s="402" t="s">
        <v>1137</v>
      </c>
      <c r="K273" s="426">
        <v>35</v>
      </c>
      <c r="L273" s="402" t="s">
        <v>1138</v>
      </c>
      <c r="M273" s="425" t="s">
        <v>419</v>
      </c>
      <c r="N273" s="426" t="s">
        <v>1112</v>
      </c>
      <c r="O273" s="401"/>
      <c r="P273" s="405" t="s">
        <v>1719</v>
      </c>
      <c r="Q273" s="405"/>
      <c r="R273" s="407"/>
      <c r="S273" s="405"/>
      <c r="T273" s="405"/>
      <c r="U273" s="407"/>
      <c r="V273" s="408"/>
      <c r="W273" s="405"/>
      <c r="X273" s="406"/>
      <c r="Y273" s="379"/>
      <c r="Z273" s="379"/>
    </row>
    <row r="274" spans="1:26" ht="30.6">
      <c r="A274" s="400" t="s">
        <v>1685</v>
      </c>
      <c r="B274" s="401" t="s">
        <v>1696</v>
      </c>
      <c r="C274" s="402" t="s">
        <v>1720</v>
      </c>
      <c r="D274" s="403">
        <v>75</v>
      </c>
      <c r="E274" s="402">
        <v>70</v>
      </c>
      <c r="F274" s="402">
        <v>60</v>
      </c>
      <c r="G274" s="402">
        <v>30</v>
      </c>
      <c r="H274" s="402">
        <v>8</v>
      </c>
      <c r="I274" s="402">
        <v>2</v>
      </c>
      <c r="J274" s="402" t="s">
        <v>1137</v>
      </c>
      <c r="K274" s="402">
        <v>35</v>
      </c>
      <c r="L274" s="402" t="s">
        <v>1138</v>
      </c>
      <c r="M274" s="403" t="s">
        <v>419</v>
      </c>
      <c r="N274" s="402" t="s">
        <v>1112</v>
      </c>
      <c r="O274" s="401"/>
      <c r="P274" s="405" t="s">
        <v>1721</v>
      </c>
      <c r="Q274" s="405"/>
      <c r="R274" s="407"/>
      <c r="S274" s="405"/>
      <c r="T274" s="405"/>
      <c r="U274" s="407"/>
      <c r="V274" s="408"/>
      <c r="W274" s="405"/>
      <c r="X274" s="406"/>
      <c r="Y274" s="379"/>
      <c r="Z274" s="379"/>
    </row>
    <row r="275" spans="1:26" ht="81.599999999999994">
      <c r="A275" s="400" t="s">
        <v>1685</v>
      </c>
      <c r="B275" s="401" t="s">
        <v>1722</v>
      </c>
      <c r="C275" s="402" t="s">
        <v>1723</v>
      </c>
      <c r="D275" s="403">
        <v>75</v>
      </c>
      <c r="E275" s="402">
        <v>70</v>
      </c>
      <c r="F275" s="402">
        <v>60</v>
      </c>
      <c r="G275" s="402">
        <v>30</v>
      </c>
      <c r="H275" s="402">
        <v>6</v>
      </c>
      <c r="I275" s="402">
        <v>2</v>
      </c>
      <c r="J275" s="402" t="s">
        <v>1137</v>
      </c>
      <c r="K275" s="402">
        <v>40</v>
      </c>
      <c r="L275" s="402" t="s">
        <v>1138</v>
      </c>
      <c r="M275" s="403" t="s">
        <v>419</v>
      </c>
      <c r="N275" s="402" t="s">
        <v>1112</v>
      </c>
      <c r="O275" s="401"/>
      <c r="P275" s="405" t="s">
        <v>1724</v>
      </c>
      <c r="Q275" s="405"/>
      <c r="R275" s="407"/>
      <c r="S275" s="405"/>
      <c r="T275" s="405"/>
      <c r="U275" s="407"/>
      <c r="V275" s="408"/>
      <c r="W275" s="405"/>
      <c r="X275" s="406"/>
      <c r="Y275" s="379"/>
      <c r="Z275" s="379"/>
    </row>
    <row r="276" spans="1:26" ht="346.8">
      <c r="A276" s="400" t="s">
        <v>1725</v>
      </c>
      <c r="B276" s="401"/>
      <c r="C276" s="402" t="s">
        <v>1726</v>
      </c>
      <c r="D276" s="403"/>
      <c r="E276" s="402"/>
      <c r="F276" s="402"/>
      <c r="G276" s="402"/>
      <c r="H276" s="402"/>
      <c r="I276" s="402"/>
      <c r="J276" s="402"/>
      <c r="K276" s="402"/>
      <c r="L276" s="402"/>
      <c r="M276" s="403"/>
      <c r="N276" s="402"/>
      <c r="O276" s="401"/>
      <c r="P276" s="406" t="s">
        <v>1727</v>
      </c>
      <c r="Q276" s="405"/>
      <c r="R276" s="444"/>
      <c r="S276" s="405"/>
      <c r="T276" s="405"/>
      <c r="U276" s="407"/>
      <c r="V276" s="408"/>
      <c r="W276" s="405"/>
      <c r="X276" s="406"/>
      <c r="Y276" s="379"/>
      <c r="Z276" s="379"/>
    </row>
    <row r="277" spans="1:26" ht="346.8">
      <c r="A277" s="400" t="s">
        <v>1725</v>
      </c>
      <c r="B277" s="401" t="s">
        <v>1414</v>
      </c>
      <c r="C277" s="402" t="s">
        <v>1728</v>
      </c>
      <c r="D277" s="403" t="s">
        <v>404</v>
      </c>
      <c r="E277" s="402" t="s">
        <v>404</v>
      </c>
      <c r="F277" s="402" t="s">
        <v>404</v>
      </c>
      <c r="G277" s="402" t="s">
        <v>404</v>
      </c>
      <c r="H277" s="402">
        <v>10</v>
      </c>
      <c r="I277" s="402" t="s">
        <v>404</v>
      </c>
      <c r="J277" s="402" t="s">
        <v>1110</v>
      </c>
      <c r="K277" s="402">
        <v>35</v>
      </c>
      <c r="L277" s="402" t="s">
        <v>1124</v>
      </c>
      <c r="M277" s="403" t="s">
        <v>420</v>
      </c>
      <c r="N277" s="402" t="s">
        <v>1112</v>
      </c>
      <c r="O277" s="401"/>
      <c r="P277" s="405" t="s">
        <v>1729</v>
      </c>
      <c r="Q277" s="405" t="s">
        <v>1730</v>
      </c>
      <c r="R277" s="444" t="s">
        <v>1731</v>
      </c>
      <c r="S277" s="405"/>
      <c r="T277" s="405"/>
      <c r="U277" s="407"/>
      <c r="V277" s="408"/>
      <c r="W277" s="405"/>
      <c r="X277" s="406"/>
      <c r="Y277" s="379"/>
      <c r="Z277" s="379"/>
    </row>
    <row r="278" spans="1:26" ht="346.8">
      <c r="A278" s="400" t="s">
        <v>1732</v>
      </c>
      <c r="B278" s="401" t="s">
        <v>1414</v>
      </c>
      <c r="C278" s="402" t="s">
        <v>1733</v>
      </c>
      <c r="D278" s="403">
        <v>75</v>
      </c>
      <c r="E278" s="402">
        <v>70</v>
      </c>
      <c r="F278" s="402">
        <v>60</v>
      </c>
      <c r="G278" s="402">
        <v>30</v>
      </c>
      <c r="H278" s="402">
        <v>12</v>
      </c>
      <c r="I278" s="402">
        <v>2</v>
      </c>
      <c r="J278" s="402" t="s">
        <v>1110</v>
      </c>
      <c r="K278" s="402">
        <v>35</v>
      </c>
      <c r="L278" s="402" t="s">
        <v>1339</v>
      </c>
      <c r="M278" s="403" t="s">
        <v>419</v>
      </c>
      <c r="N278" s="402" t="s">
        <v>1112</v>
      </c>
      <c r="O278" s="401"/>
      <c r="P278" s="405" t="s">
        <v>1729</v>
      </c>
      <c r="Q278" s="405" t="s">
        <v>1730</v>
      </c>
      <c r="R278" s="444" t="s">
        <v>1734</v>
      </c>
      <c r="S278" s="427"/>
      <c r="T278" s="405"/>
      <c r="U278" s="407"/>
      <c r="V278" s="445"/>
      <c r="W278" s="405"/>
      <c r="X278" s="406"/>
      <c r="Y278" s="379"/>
      <c r="Z278" s="379"/>
    </row>
    <row r="279" spans="1:26" ht="122.4">
      <c r="A279" s="400" t="s">
        <v>1735</v>
      </c>
      <c r="B279" s="401" t="s">
        <v>1414</v>
      </c>
      <c r="C279" s="402" t="s">
        <v>1736</v>
      </c>
      <c r="D279" s="403" t="s">
        <v>404</v>
      </c>
      <c r="E279" s="402" t="s">
        <v>404</v>
      </c>
      <c r="F279" s="402" t="s">
        <v>404</v>
      </c>
      <c r="G279" s="402" t="s">
        <v>404</v>
      </c>
      <c r="H279" s="402">
        <v>10</v>
      </c>
      <c r="I279" s="402" t="s">
        <v>404</v>
      </c>
      <c r="J279" s="402" t="s">
        <v>1137</v>
      </c>
      <c r="K279" s="402">
        <v>35</v>
      </c>
      <c r="L279" s="402" t="s">
        <v>1145</v>
      </c>
      <c r="M279" s="403" t="s">
        <v>420</v>
      </c>
      <c r="N279" s="402" t="s">
        <v>1112</v>
      </c>
      <c r="O279" s="401"/>
      <c r="P279" s="446" t="s">
        <v>1737</v>
      </c>
      <c r="Q279" s="446" t="s">
        <v>1738</v>
      </c>
      <c r="R279" s="405" t="s">
        <v>1739</v>
      </c>
      <c r="S279" s="447"/>
      <c r="T279" s="447"/>
      <c r="U279" s="407"/>
      <c r="V279" s="447"/>
      <c r="W279" s="405"/>
      <c r="X279" s="406"/>
      <c r="Y279" s="379"/>
      <c r="Z279" s="379"/>
    </row>
    <row r="280" spans="1:26" ht="122.4">
      <c r="A280" s="400" t="s">
        <v>1735</v>
      </c>
      <c r="B280" s="401" t="s">
        <v>1414</v>
      </c>
      <c r="C280" s="402" t="s">
        <v>1740</v>
      </c>
      <c r="D280" s="403">
        <v>75</v>
      </c>
      <c r="E280" s="402">
        <v>70</v>
      </c>
      <c r="F280" s="402">
        <v>60</v>
      </c>
      <c r="G280" s="402">
        <v>30</v>
      </c>
      <c r="H280" s="402">
        <v>12</v>
      </c>
      <c r="I280" s="402">
        <v>2</v>
      </c>
      <c r="J280" s="402" t="s">
        <v>1137</v>
      </c>
      <c r="K280" s="402">
        <v>35</v>
      </c>
      <c r="L280" s="402" t="s">
        <v>1741</v>
      </c>
      <c r="M280" s="403" t="s">
        <v>419</v>
      </c>
      <c r="N280" s="402" t="s">
        <v>1112</v>
      </c>
      <c r="O280" s="401"/>
      <c r="P280" s="446" t="s">
        <v>1737</v>
      </c>
      <c r="Q280" s="446" t="s">
        <v>1738</v>
      </c>
      <c r="R280" s="446" t="s">
        <v>1742</v>
      </c>
      <c r="S280" s="405"/>
      <c r="T280" s="405"/>
      <c r="U280" s="444"/>
      <c r="V280" s="405"/>
      <c r="W280" s="405"/>
      <c r="X280" s="406"/>
      <c r="Y280" s="379"/>
      <c r="Z280" s="379"/>
    </row>
    <row r="281" spans="1:26" ht="71.400000000000006">
      <c r="A281" s="400" t="s">
        <v>1743</v>
      </c>
      <c r="B281" s="401"/>
      <c r="C281" s="402"/>
      <c r="D281" s="403"/>
      <c r="E281" s="402"/>
      <c r="F281" s="402"/>
      <c r="G281" s="402"/>
      <c r="H281" s="402"/>
      <c r="I281" s="402"/>
      <c r="J281" s="402"/>
      <c r="K281" s="402"/>
      <c r="L281" s="402"/>
      <c r="M281" s="403"/>
      <c r="N281" s="402"/>
      <c r="O281" s="401"/>
      <c r="P281" s="405" t="s">
        <v>1744</v>
      </c>
      <c r="Q281" s="405"/>
      <c r="R281" s="407"/>
      <c r="S281" s="405"/>
      <c r="T281" s="405"/>
      <c r="U281" s="448"/>
      <c r="V281" s="408"/>
      <c r="W281" s="405"/>
      <c r="X281" s="406"/>
      <c r="Y281" s="379"/>
      <c r="Z281" s="379"/>
    </row>
    <row r="282" spans="1:26" ht="40.799999999999997">
      <c r="A282" s="400" t="s">
        <v>1743</v>
      </c>
      <c r="B282" s="401" t="s">
        <v>1414</v>
      </c>
      <c r="C282" s="402" t="s">
        <v>1745</v>
      </c>
      <c r="D282" s="403">
        <v>75</v>
      </c>
      <c r="E282" s="402">
        <v>70</v>
      </c>
      <c r="F282" s="402">
        <v>60</v>
      </c>
      <c r="G282" s="402">
        <v>30</v>
      </c>
      <c r="H282" s="402">
        <v>6</v>
      </c>
      <c r="I282" s="402">
        <v>2</v>
      </c>
      <c r="J282" s="402" t="s">
        <v>1110</v>
      </c>
      <c r="K282" s="402">
        <v>40</v>
      </c>
      <c r="L282" s="402" t="s">
        <v>1124</v>
      </c>
      <c r="M282" s="403" t="s">
        <v>419</v>
      </c>
      <c r="N282" s="402" t="s">
        <v>1149</v>
      </c>
      <c r="O282" s="401"/>
      <c r="P282" s="405" t="s">
        <v>1150</v>
      </c>
      <c r="Q282" s="405"/>
      <c r="R282" s="407"/>
      <c r="S282" s="405"/>
      <c r="T282" s="405"/>
      <c r="U282" s="448"/>
      <c r="V282" s="408"/>
      <c r="W282" s="405"/>
      <c r="X282" s="406"/>
      <c r="Y282" s="379"/>
      <c r="Z282" s="379"/>
    </row>
    <row r="283" spans="1:26" ht="40.799999999999997">
      <c r="A283" s="400" t="s">
        <v>1743</v>
      </c>
      <c r="B283" s="401" t="s">
        <v>1414</v>
      </c>
      <c r="C283" s="402" t="s">
        <v>1746</v>
      </c>
      <c r="D283" s="403">
        <v>75</v>
      </c>
      <c r="E283" s="402">
        <v>70</v>
      </c>
      <c r="F283" s="402">
        <v>60</v>
      </c>
      <c r="G283" s="402">
        <v>30</v>
      </c>
      <c r="H283" s="402">
        <v>6</v>
      </c>
      <c r="I283" s="402">
        <v>2</v>
      </c>
      <c r="J283" s="402" t="s">
        <v>1110</v>
      </c>
      <c r="K283" s="402">
        <v>40</v>
      </c>
      <c r="L283" s="402" t="s">
        <v>1124</v>
      </c>
      <c r="M283" s="403" t="s">
        <v>419</v>
      </c>
      <c r="N283" s="402" t="s">
        <v>1149</v>
      </c>
      <c r="O283" s="401"/>
      <c r="P283" s="405" t="s">
        <v>1158</v>
      </c>
      <c r="Q283" s="405"/>
      <c r="R283" s="407"/>
      <c r="S283" s="405"/>
      <c r="T283" s="405"/>
      <c r="U283" s="407"/>
      <c r="V283" s="408"/>
      <c r="W283" s="405"/>
      <c r="X283" s="406"/>
      <c r="Y283" s="379"/>
      <c r="Z283" s="379"/>
    </row>
    <row r="284" spans="1:26" ht="40.799999999999997">
      <c r="A284" s="400" t="s">
        <v>1743</v>
      </c>
      <c r="B284" s="401" t="s">
        <v>1414</v>
      </c>
      <c r="C284" s="402" t="s">
        <v>1747</v>
      </c>
      <c r="D284" s="403">
        <v>75</v>
      </c>
      <c r="E284" s="402">
        <v>70</v>
      </c>
      <c r="F284" s="402">
        <v>60</v>
      </c>
      <c r="G284" s="402">
        <v>30</v>
      </c>
      <c r="H284" s="402">
        <v>6</v>
      </c>
      <c r="I284" s="402">
        <v>2</v>
      </c>
      <c r="J284" s="402" t="s">
        <v>1110</v>
      </c>
      <c r="K284" s="402">
        <v>40</v>
      </c>
      <c r="L284" s="402" t="s">
        <v>1124</v>
      </c>
      <c r="M284" s="403" t="s">
        <v>419</v>
      </c>
      <c r="N284" s="402" t="s">
        <v>1149</v>
      </c>
      <c r="O284" s="401"/>
      <c r="P284" s="405" t="s">
        <v>1158</v>
      </c>
      <c r="Q284" s="408"/>
      <c r="R284" s="407"/>
      <c r="S284" s="405"/>
      <c r="T284" s="405"/>
      <c r="U284" s="407"/>
      <c r="V284" s="408"/>
      <c r="W284" s="405"/>
      <c r="X284" s="406"/>
      <c r="Y284" s="379"/>
      <c r="Z284" s="379"/>
    </row>
    <row r="285" spans="1:26" ht="40.799999999999997">
      <c r="A285" s="400" t="s">
        <v>1743</v>
      </c>
      <c r="B285" s="401" t="s">
        <v>1414</v>
      </c>
      <c r="C285" s="402" t="s">
        <v>1748</v>
      </c>
      <c r="D285" s="403">
        <v>75</v>
      </c>
      <c r="E285" s="402">
        <v>70</v>
      </c>
      <c r="F285" s="402">
        <v>60</v>
      </c>
      <c r="G285" s="402">
        <v>30</v>
      </c>
      <c r="H285" s="402">
        <v>6</v>
      </c>
      <c r="I285" s="402">
        <v>2</v>
      </c>
      <c r="J285" s="402" t="s">
        <v>1137</v>
      </c>
      <c r="K285" s="402">
        <v>40</v>
      </c>
      <c r="L285" s="402" t="s">
        <v>1124</v>
      </c>
      <c r="M285" s="403" t="s">
        <v>419</v>
      </c>
      <c r="N285" s="402" t="s">
        <v>1149</v>
      </c>
      <c r="O285" s="401"/>
      <c r="P285" s="405" t="s">
        <v>1150</v>
      </c>
      <c r="Q285" s="405" t="s">
        <v>1151</v>
      </c>
      <c r="R285" s="407"/>
      <c r="S285" s="405"/>
      <c r="T285" s="405"/>
      <c r="U285" s="407"/>
      <c r="V285" s="405"/>
      <c r="W285" s="405"/>
      <c r="X285" s="406"/>
      <c r="Y285" s="379"/>
      <c r="Z285" s="379"/>
    </row>
    <row r="286" spans="1:26" ht="20.399999999999999">
      <c r="A286" s="400" t="s">
        <v>1743</v>
      </c>
      <c r="B286" s="401" t="s">
        <v>1414</v>
      </c>
      <c r="C286" s="402" t="s">
        <v>1749</v>
      </c>
      <c r="D286" s="403" t="s">
        <v>404</v>
      </c>
      <c r="E286" s="402" t="s">
        <v>404</v>
      </c>
      <c r="F286" s="402" t="s">
        <v>404</v>
      </c>
      <c r="G286" s="402" t="s">
        <v>404</v>
      </c>
      <c r="H286" s="402">
        <v>10</v>
      </c>
      <c r="I286" s="402">
        <v>2</v>
      </c>
      <c r="J286" s="402" t="s">
        <v>1110</v>
      </c>
      <c r="K286" s="402">
        <v>40</v>
      </c>
      <c r="L286" s="402" t="s">
        <v>1124</v>
      </c>
      <c r="M286" s="403" t="s">
        <v>420</v>
      </c>
      <c r="N286" s="402" t="s">
        <v>1112</v>
      </c>
      <c r="O286" s="401"/>
      <c r="P286" s="405" t="s">
        <v>1164</v>
      </c>
      <c r="Q286" s="408"/>
      <c r="R286" s="407"/>
      <c r="S286" s="405"/>
      <c r="T286" s="405"/>
      <c r="U286" s="407"/>
      <c r="V286" s="408"/>
      <c r="W286" s="405"/>
      <c r="X286" s="406"/>
      <c r="Y286" s="379"/>
      <c r="Z286" s="379"/>
    </row>
    <row r="287" spans="1:26">
      <c r="A287" s="400" t="s">
        <v>1743</v>
      </c>
      <c r="B287" s="401" t="s">
        <v>1414</v>
      </c>
      <c r="C287" s="402" t="s">
        <v>1750</v>
      </c>
      <c r="D287" s="403">
        <v>75</v>
      </c>
      <c r="E287" s="402">
        <v>70</v>
      </c>
      <c r="F287" s="402">
        <v>60</v>
      </c>
      <c r="G287" s="402">
        <v>30</v>
      </c>
      <c r="H287" s="402">
        <v>6</v>
      </c>
      <c r="I287" s="402">
        <v>2</v>
      </c>
      <c r="J287" s="402" t="s">
        <v>1110</v>
      </c>
      <c r="K287" s="402">
        <v>40</v>
      </c>
      <c r="L287" s="402" t="s">
        <v>1124</v>
      </c>
      <c r="M287" s="403" t="s">
        <v>419</v>
      </c>
      <c r="N287" s="402" t="s">
        <v>1112</v>
      </c>
      <c r="O287" s="401"/>
      <c r="P287" s="405"/>
      <c r="Q287" s="405"/>
      <c r="R287" s="407"/>
      <c r="S287" s="405"/>
      <c r="T287" s="405"/>
      <c r="U287" s="407"/>
      <c r="V287" s="408"/>
      <c r="W287" s="405"/>
      <c r="X287" s="406"/>
      <c r="Y287" s="379"/>
      <c r="Z287" s="379"/>
    </row>
    <row r="288" spans="1:26" ht="30.6">
      <c r="A288" s="400" t="s">
        <v>1743</v>
      </c>
      <c r="B288" s="401" t="s">
        <v>1414</v>
      </c>
      <c r="C288" s="402" t="s">
        <v>1751</v>
      </c>
      <c r="D288" s="403">
        <v>75</v>
      </c>
      <c r="E288" s="402">
        <v>70</v>
      </c>
      <c r="F288" s="402">
        <v>60</v>
      </c>
      <c r="G288" s="402">
        <v>30</v>
      </c>
      <c r="H288" s="402">
        <v>4</v>
      </c>
      <c r="I288" s="402">
        <v>2</v>
      </c>
      <c r="J288" s="402" t="s">
        <v>1110</v>
      </c>
      <c r="K288" s="402">
        <v>45</v>
      </c>
      <c r="L288" s="402" t="s">
        <v>1145</v>
      </c>
      <c r="M288" s="403" t="s">
        <v>419</v>
      </c>
      <c r="N288" s="402" t="s">
        <v>1112</v>
      </c>
      <c r="O288" s="401"/>
      <c r="P288" s="405" t="s">
        <v>1752</v>
      </c>
      <c r="Q288" s="405"/>
      <c r="R288" s="407"/>
      <c r="S288" s="405"/>
      <c r="T288" s="405"/>
      <c r="U288" s="407"/>
      <c r="V288" s="408"/>
      <c r="W288" s="405"/>
      <c r="X288" s="406"/>
      <c r="Y288" s="379"/>
      <c r="Z288" s="379"/>
    </row>
    <row r="289" spans="1:26" ht="40.799999999999997">
      <c r="A289" s="400" t="s">
        <v>1743</v>
      </c>
      <c r="B289" s="401" t="s">
        <v>1414</v>
      </c>
      <c r="C289" s="402" t="s">
        <v>1753</v>
      </c>
      <c r="D289" s="403">
        <v>75</v>
      </c>
      <c r="E289" s="402">
        <v>70</v>
      </c>
      <c r="F289" s="402">
        <v>60</v>
      </c>
      <c r="G289" s="402">
        <v>30</v>
      </c>
      <c r="H289" s="402">
        <v>6</v>
      </c>
      <c r="I289" s="402">
        <v>2</v>
      </c>
      <c r="J289" s="402" t="s">
        <v>1110</v>
      </c>
      <c r="K289" s="402">
        <v>40</v>
      </c>
      <c r="L289" s="402" t="s">
        <v>1124</v>
      </c>
      <c r="M289" s="403" t="s">
        <v>419</v>
      </c>
      <c r="N289" s="402" t="s">
        <v>1149</v>
      </c>
      <c r="O289" s="401"/>
      <c r="P289" s="405" t="s">
        <v>1150</v>
      </c>
      <c r="Q289" s="405"/>
      <c r="R289" s="407"/>
      <c r="S289" s="405"/>
      <c r="T289" s="405"/>
      <c r="U289" s="407"/>
      <c r="V289" s="408"/>
      <c r="W289" s="405"/>
      <c r="X289" s="406"/>
      <c r="Y289" s="379"/>
      <c r="Z289" s="379"/>
    </row>
    <row r="290" spans="1:26" ht="40.799999999999997">
      <c r="A290" s="400" t="s">
        <v>1743</v>
      </c>
      <c r="B290" s="401" t="s">
        <v>1414</v>
      </c>
      <c r="C290" s="402" t="s">
        <v>1754</v>
      </c>
      <c r="D290" s="403">
        <v>75</v>
      </c>
      <c r="E290" s="402">
        <v>70</v>
      </c>
      <c r="F290" s="402">
        <v>60</v>
      </c>
      <c r="G290" s="402">
        <v>30</v>
      </c>
      <c r="H290" s="402">
        <v>6</v>
      </c>
      <c r="I290" s="402">
        <v>2</v>
      </c>
      <c r="J290" s="402" t="s">
        <v>1110</v>
      </c>
      <c r="K290" s="402">
        <v>40</v>
      </c>
      <c r="L290" s="402" t="s">
        <v>1124</v>
      </c>
      <c r="M290" s="403" t="s">
        <v>419</v>
      </c>
      <c r="N290" s="402" t="s">
        <v>1149</v>
      </c>
      <c r="O290" s="401"/>
      <c r="P290" s="405" t="s">
        <v>1150</v>
      </c>
      <c r="Q290" s="405"/>
      <c r="R290" s="407"/>
      <c r="S290" s="405"/>
      <c r="T290" s="405"/>
      <c r="U290" s="407"/>
      <c r="V290" s="408"/>
      <c r="W290" s="405"/>
      <c r="X290" s="406"/>
      <c r="Y290" s="379"/>
      <c r="Z290" s="379"/>
    </row>
    <row r="291" spans="1:26" ht="40.799999999999997">
      <c r="A291" s="400" t="s">
        <v>1743</v>
      </c>
      <c r="B291" s="401" t="s">
        <v>1414</v>
      </c>
      <c r="C291" s="402" t="s">
        <v>1755</v>
      </c>
      <c r="D291" s="403">
        <v>75</v>
      </c>
      <c r="E291" s="402">
        <v>70</v>
      </c>
      <c r="F291" s="402">
        <v>60</v>
      </c>
      <c r="G291" s="402">
        <v>30</v>
      </c>
      <c r="H291" s="402">
        <v>6</v>
      </c>
      <c r="I291" s="402">
        <v>2</v>
      </c>
      <c r="J291" s="402" t="s">
        <v>1110</v>
      </c>
      <c r="K291" s="402">
        <v>40</v>
      </c>
      <c r="L291" s="402" t="s">
        <v>1124</v>
      </c>
      <c r="M291" s="403" t="s">
        <v>419</v>
      </c>
      <c r="N291" s="402" t="s">
        <v>1149</v>
      </c>
      <c r="O291" s="401"/>
      <c r="P291" s="405" t="s">
        <v>1150</v>
      </c>
      <c r="Q291" s="405"/>
      <c r="R291" s="407"/>
      <c r="S291" s="405"/>
      <c r="T291" s="405"/>
      <c r="U291" s="407"/>
      <c r="V291" s="408"/>
      <c r="W291" s="405"/>
      <c r="X291" s="406"/>
      <c r="Y291" s="379"/>
      <c r="Z291" s="379"/>
    </row>
    <row r="292" spans="1:26" ht="61.2">
      <c r="A292" s="400" t="s">
        <v>1743</v>
      </c>
      <c r="B292" s="401" t="s">
        <v>1414</v>
      </c>
      <c r="C292" s="402" t="s">
        <v>1756</v>
      </c>
      <c r="D292" s="403">
        <v>75</v>
      </c>
      <c r="E292" s="402">
        <v>70</v>
      </c>
      <c r="F292" s="402">
        <v>60</v>
      </c>
      <c r="G292" s="402">
        <v>30</v>
      </c>
      <c r="H292" s="402">
        <v>10</v>
      </c>
      <c r="I292" s="402">
        <v>2</v>
      </c>
      <c r="J292" s="402" t="s">
        <v>1110</v>
      </c>
      <c r="K292" s="402">
        <v>40</v>
      </c>
      <c r="L292" s="402" t="s">
        <v>1124</v>
      </c>
      <c r="M292" s="403" t="s">
        <v>419</v>
      </c>
      <c r="N292" s="402" t="s">
        <v>1149</v>
      </c>
      <c r="O292" s="401"/>
      <c r="P292" s="405" t="s">
        <v>1757</v>
      </c>
      <c r="Q292" s="405"/>
      <c r="R292" s="407"/>
      <c r="S292" s="405"/>
      <c r="T292" s="405"/>
      <c r="U292" s="407"/>
      <c r="V292" s="408"/>
      <c r="W292" s="405"/>
      <c r="X292" s="406"/>
      <c r="Y292" s="379"/>
      <c r="Z292" s="379"/>
    </row>
    <row r="293" spans="1:26" ht="163.19999999999999">
      <c r="A293" s="400" t="s">
        <v>1758</v>
      </c>
      <c r="B293" s="401" t="s">
        <v>1759</v>
      </c>
      <c r="C293" s="402" t="s">
        <v>1760</v>
      </c>
      <c r="D293" s="403">
        <v>75</v>
      </c>
      <c r="E293" s="402">
        <v>70</v>
      </c>
      <c r="F293" s="402">
        <v>60</v>
      </c>
      <c r="G293" s="402">
        <v>30</v>
      </c>
      <c r="H293" s="402">
        <v>6</v>
      </c>
      <c r="I293" s="402">
        <v>2</v>
      </c>
      <c r="J293" s="402" t="s">
        <v>1137</v>
      </c>
      <c r="K293" s="402">
        <v>35</v>
      </c>
      <c r="L293" s="418" t="s">
        <v>1138</v>
      </c>
      <c r="M293" s="403" t="s">
        <v>419</v>
      </c>
      <c r="N293" s="402" t="s">
        <v>1139</v>
      </c>
      <c r="O293" s="401"/>
      <c r="P293" s="405" t="s">
        <v>1761</v>
      </c>
      <c r="Q293" s="405" t="s">
        <v>1762</v>
      </c>
      <c r="R293" s="407" t="s">
        <v>1763</v>
      </c>
      <c r="S293" s="405"/>
      <c r="T293" s="405"/>
      <c r="U293" s="407"/>
      <c r="V293" s="408"/>
      <c r="W293" s="405"/>
      <c r="X293" s="406"/>
      <c r="Y293" s="379"/>
      <c r="Z293" s="379"/>
    </row>
    <row r="294" spans="1:26" ht="163.19999999999999">
      <c r="A294" s="400" t="s">
        <v>1758</v>
      </c>
      <c r="B294" s="401" t="s">
        <v>1764</v>
      </c>
      <c r="C294" s="402" t="s">
        <v>1765</v>
      </c>
      <c r="D294" s="403" t="s">
        <v>404</v>
      </c>
      <c r="E294" s="402">
        <v>68</v>
      </c>
      <c r="F294" s="402" t="s">
        <v>404</v>
      </c>
      <c r="G294" s="402">
        <v>30</v>
      </c>
      <c r="H294" s="402">
        <v>10</v>
      </c>
      <c r="I294" s="402" t="s">
        <v>404</v>
      </c>
      <c r="J294" s="402" t="s">
        <v>1123</v>
      </c>
      <c r="K294" s="402">
        <v>35</v>
      </c>
      <c r="L294" s="418" t="s">
        <v>1339</v>
      </c>
      <c r="M294" s="403" t="s">
        <v>415</v>
      </c>
      <c r="N294" s="402" t="s">
        <v>1112</v>
      </c>
      <c r="O294" s="401"/>
      <c r="P294" s="405" t="s">
        <v>1766</v>
      </c>
      <c r="Q294" s="405" t="s">
        <v>1762</v>
      </c>
      <c r="R294" s="407" t="s">
        <v>1763</v>
      </c>
      <c r="S294" s="405" t="s">
        <v>1767</v>
      </c>
      <c r="T294" s="405" t="s">
        <v>1768</v>
      </c>
      <c r="U294" s="407"/>
      <c r="V294" s="408"/>
      <c r="W294" s="405"/>
      <c r="X294" s="406"/>
      <c r="Y294" s="379"/>
      <c r="Z294" s="379"/>
    </row>
    <row r="295" spans="1:26" ht="163.19999999999999">
      <c r="A295" s="400" t="s">
        <v>1758</v>
      </c>
      <c r="B295" s="401" t="s">
        <v>1769</v>
      </c>
      <c r="C295" s="402" t="s">
        <v>1770</v>
      </c>
      <c r="D295" s="403">
        <v>75</v>
      </c>
      <c r="E295" s="402">
        <v>70</v>
      </c>
      <c r="F295" s="402">
        <v>60</v>
      </c>
      <c r="G295" s="402">
        <v>30</v>
      </c>
      <c r="H295" s="402">
        <v>6</v>
      </c>
      <c r="I295" s="402">
        <v>2</v>
      </c>
      <c r="J295" s="402" t="s">
        <v>1137</v>
      </c>
      <c r="K295" s="402">
        <v>35</v>
      </c>
      <c r="L295" s="418" t="s">
        <v>1138</v>
      </c>
      <c r="M295" s="403" t="s">
        <v>419</v>
      </c>
      <c r="N295" s="402" t="s">
        <v>1139</v>
      </c>
      <c r="O295" s="401"/>
      <c r="P295" s="405" t="s">
        <v>1766</v>
      </c>
      <c r="Q295" s="405" t="s">
        <v>1762</v>
      </c>
      <c r="R295" s="407" t="s">
        <v>1763</v>
      </c>
      <c r="S295" s="408"/>
      <c r="T295" s="408"/>
      <c r="U295" s="407"/>
      <c r="V295" s="408"/>
      <c r="W295" s="405"/>
      <c r="X295" s="406"/>
      <c r="Y295" s="379"/>
      <c r="Z295" s="379"/>
    </row>
    <row r="296" spans="1:26" ht="163.19999999999999">
      <c r="A296" s="400" t="s">
        <v>1758</v>
      </c>
      <c r="B296" s="401" t="s">
        <v>1764</v>
      </c>
      <c r="C296" s="402" t="s">
        <v>1771</v>
      </c>
      <c r="D296" s="403" t="s">
        <v>404</v>
      </c>
      <c r="E296" s="402">
        <v>68</v>
      </c>
      <c r="F296" s="402" t="s">
        <v>404</v>
      </c>
      <c r="G296" s="402">
        <v>30</v>
      </c>
      <c r="H296" s="402">
        <v>10</v>
      </c>
      <c r="I296" s="402" t="s">
        <v>404</v>
      </c>
      <c r="J296" s="402" t="s">
        <v>1123</v>
      </c>
      <c r="K296" s="402">
        <v>35</v>
      </c>
      <c r="L296" s="418" t="s">
        <v>1339</v>
      </c>
      <c r="M296" s="403" t="s">
        <v>415</v>
      </c>
      <c r="N296" s="402" t="s">
        <v>1112</v>
      </c>
      <c r="O296" s="401"/>
      <c r="P296" s="405" t="s">
        <v>1766</v>
      </c>
      <c r="Q296" s="405" t="s">
        <v>1762</v>
      </c>
      <c r="R296" s="407" t="s">
        <v>1763</v>
      </c>
      <c r="S296" s="405" t="s">
        <v>1772</v>
      </c>
      <c r="T296" s="405" t="s">
        <v>1768</v>
      </c>
      <c r="U296" s="407"/>
      <c r="V296" s="408"/>
      <c r="W296" s="405"/>
      <c r="X296" s="406"/>
      <c r="Y296" s="379"/>
      <c r="Z296" s="379"/>
    </row>
    <row r="297" spans="1:26" ht="163.19999999999999">
      <c r="A297" s="400" t="s">
        <v>1758</v>
      </c>
      <c r="B297" s="401" t="s">
        <v>1773</v>
      </c>
      <c r="C297" s="402" t="s">
        <v>1774</v>
      </c>
      <c r="D297" s="403">
        <v>75</v>
      </c>
      <c r="E297" s="402">
        <v>70</v>
      </c>
      <c r="F297" s="402">
        <v>60</v>
      </c>
      <c r="G297" s="402">
        <v>30</v>
      </c>
      <c r="H297" s="402">
        <v>6</v>
      </c>
      <c r="I297" s="402">
        <v>2</v>
      </c>
      <c r="J297" s="402" t="s">
        <v>1137</v>
      </c>
      <c r="K297" s="402">
        <v>35</v>
      </c>
      <c r="L297" s="418" t="s">
        <v>1138</v>
      </c>
      <c r="M297" s="403" t="s">
        <v>419</v>
      </c>
      <c r="N297" s="402" t="s">
        <v>1139</v>
      </c>
      <c r="O297" s="401"/>
      <c r="P297" s="405" t="s">
        <v>1766</v>
      </c>
      <c r="Q297" s="405" t="s">
        <v>1762</v>
      </c>
      <c r="R297" s="407" t="s">
        <v>1763</v>
      </c>
      <c r="S297" s="405"/>
      <c r="T297" s="405"/>
      <c r="U297" s="407"/>
      <c r="V297" s="408"/>
      <c r="W297" s="405"/>
      <c r="X297" s="406"/>
      <c r="Y297" s="379"/>
      <c r="Z297" s="379"/>
    </row>
    <row r="298" spans="1:26" ht="163.19999999999999">
      <c r="A298" s="400" t="s">
        <v>1758</v>
      </c>
      <c r="B298" s="401" t="s">
        <v>1775</v>
      </c>
      <c r="C298" s="402" t="s">
        <v>1776</v>
      </c>
      <c r="D298" s="403">
        <v>75</v>
      </c>
      <c r="E298" s="402">
        <v>70</v>
      </c>
      <c r="F298" s="402">
        <v>60</v>
      </c>
      <c r="G298" s="402">
        <v>30</v>
      </c>
      <c r="H298" s="402">
        <v>4</v>
      </c>
      <c r="I298" s="402">
        <v>2</v>
      </c>
      <c r="J298" s="402" t="s">
        <v>1137</v>
      </c>
      <c r="K298" s="402">
        <v>35</v>
      </c>
      <c r="L298" s="418" t="s">
        <v>1138</v>
      </c>
      <c r="M298" s="403" t="s">
        <v>419</v>
      </c>
      <c r="N298" s="402" t="s">
        <v>1139</v>
      </c>
      <c r="O298" s="401"/>
      <c r="P298" s="405" t="s">
        <v>1766</v>
      </c>
      <c r="Q298" s="405" t="s">
        <v>1762</v>
      </c>
      <c r="R298" s="407" t="s">
        <v>1763</v>
      </c>
      <c r="S298" s="405"/>
      <c r="T298" s="405"/>
      <c r="U298" s="407"/>
      <c r="V298" s="408"/>
      <c r="W298" s="405"/>
      <c r="X298" s="406"/>
      <c r="Y298" s="379"/>
      <c r="Z298" s="379"/>
    </row>
    <row r="299" spans="1:26" ht="163.19999999999999">
      <c r="A299" s="400" t="s">
        <v>1758</v>
      </c>
      <c r="B299" s="401" t="s">
        <v>1777</v>
      </c>
      <c r="C299" s="402" t="s">
        <v>1771</v>
      </c>
      <c r="D299" s="403" t="s">
        <v>404</v>
      </c>
      <c r="E299" s="402">
        <v>68</v>
      </c>
      <c r="F299" s="402" t="s">
        <v>404</v>
      </c>
      <c r="G299" s="402">
        <v>30</v>
      </c>
      <c r="H299" s="402">
        <v>10</v>
      </c>
      <c r="I299" s="402" t="s">
        <v>404</v>
      </c>
      <c r="J299" s="402" t="s">
        <v>1123</v>
      </c>
      <c r="K299" s="402">
        <v>35</v>
      </c>
      <c r="L299" s="418" t="s">
        <v>1339</v>
      </c>
      <c r="M299" s="403" t="s">
        <v>415</v>
      </c>
      <c r="N299" s="402" t="s">
        <v>1112</v>
      </c>
      <c r="O299" s="401"/>
      <c r="P299" s="405" t="s">
        <v>1766</v>
      </c>
      <c r="Q299" s="405" t="s">
        <v>1762</v>
      </c>
      <c r="R299" s="407" t="s">
        <v>1763</v>
      </c>
      <c r="S299" s="405" t="s">
        <v>1778</v>
      </c>
      <c r="T299" s="405" t="s">
        <v>1768</v>
      </c>
      <c r="U299" s="407"/>
      <c r="V299" s="408"/>
      <c r="W299" s="405"/>
      <c r="X299" s="406"/>
      <c r="Y299" s="379"/>
      <c r="Z299" s="379"/>
    </row>
    <row r="300" spans="1:26">
      <c r="A300" s="400" t="s">
        <v>1758</v>
      </c>
      <c r="B300" s="401" t="s">
        <v>1779</v>
      </c>
      <c r="C300" s="402" t="s">
        <v>1780</v>
      </c>
      <c r="D300" s="403">
        <v>75</v>
      </c>
      <c r="E300" s="402">
        <v>70</v>
      </c>
      <c r="F300" s="402">
        <v>60</v>
      </c>
      <c r="G300" s="402">
        <v>30</v>
      </c>
      <c r="H300" s="402">
        <v>4</v>
      </c>
      <c r="I300" s="402">
        <v>2</v>
      </c>
      <c r="J300" s="402" t="s">
        <v>1137</v>
      </c>
      <c r="K300" s="402">
        <v>40</v>
      </c>
      <c r="L300" s="418" t="s">
        <v>1138</v>
      </c>
      <c r="M300" s="403" t="s">
        <v>419</v>
      </c>
      <c r="N300" s="402" t="s">
        <v>1139</v>
      </c>
      <c r="O300" s="401"/>
      <c r="P300" s="405"/>
      <c r="Q300" s="405"/>
      <c r="R300" s="407"/>
      <c r="S300" s="405"/>
      <c r="T300" s="405"/>
      <c r="U300" s="407"/>
      <c r="V300" s="408"/>
      <c r="W300" s="405"/>
      <c r="X300" s="406"/>
      <c r="Y300" s="379"/>
      <c r="Z300" s="379"/>
    </row>
    <row r="301" spans="1:26">
      <c r="A301" s="400" t="s">
        <v>1758</v>
      </c>
      <c r="B301" s="401" t="s">
        <v>1781</v>
      </c>
      <c r="C301" s="402" t="s">
        <v>1782</v>
      </c>
      <c r="D301" s="403">
        <v>75</v>
      </c>
      <c r="E301" s="402">
        <v>70</v>
      </c>
      <c r="F301" s="402">
        <v>60</v>
      </c>
      <c r="G301" s="402">
        <v>30</v>
      </c>
      <c r="H301" s="402">
        <v>4</v>
      </c>
      <c r="I301" s="402">
        <v>2</v>
      </c>
      <c r="J301" s="402" t="s">
        <v>1137</v>
      </c>
      <c r="K301" s="402">
        <v>40</v>
      </c>
      <c r="L301" s="418" t="s">
        <v>1138</v>
      </c>
      <c r="M301" s="403" t="s">
        <v>419</v>
      </c>
      <c r="N301" s="402" t="s">
        <v>1139</v>
      </c>
      <c r="O301" s="401"/>
      <c r="P301" s="405"/>
      <c r="Q301" s="405"/>
      <c r="R301" s="407"/>
      <c r="S301" s="408"/>
      <c r="T301" s="408"/>
      <c r="U301" s="407"/>
      <c r="V301" s="408"/>
      <c r="W301" s="405"/>
      <c r="X301" s="406"/>
      <c r="Y301" s="379"/>
      <c r="Z301" s="379"/>
    </row>
    <row r="302" spans="1:26">
      <c r="A302" s="400" t="s">
        <v>1758</v>
      </c>
      <c r="B302" s="401" t="s">
        <v>1418</v>
      </c>
      <c r="C302" s="402" t="s">
        <v>1580</v>
      </c>
      <c r="D302" s="403">
        <v>75</v>
      </c>
      <c r="E302" s="402">
        <v>70</v>
      </c>
      <c r="F302" s="402">
        <v>60</v>
      </c>
      <c r="G302" s="402">
        <v>30</v>
      </c>
      <c r="H302" s="402">
        <v>6</v>
      </c>
      <c r="I302" s="402">
        <v>2</v>
      </c>
      <c r="J302" s="402" t="s">
        <v>1137</v>
      </c>
      <c r="K302" s="402">
        <v>35</v>
      </c>
      <c r="L302" s="418" t="s">
        <v>1138</v>
      </c>
      <c r="M302" s="403" t="s">
        <v>419</v>
      </c>
      <c r="N302" s="402" t="s">
        <v>1139</v>
      </c>
      <c r="O302" s="401"/>
      <c r="P302" s="405"/>
      <c r="Q302" s="405"/>
      <c r="R302" s="407"/>
      <c r="S302" s="405"/>
      <c r="T302" s="405"/>
      <c r="U302" s="407"/>
      <c r="V302" s="408"/>
      <c r="W302" s="405"/>
      <c r="X302" s="406"/>
      <c r="Y302" s="379"/>
      <c r="Z302" s="379"/>
    </row>
    <row r="303" spans="1:26">
      <c r="A303" s="400" t="s">
        <v>1758</v>
      </c>
      <c r="B303" s="401" t="s">
        <v>1783</v>
      </c>
      <c r="C303" s="402" t="s">
        <v>1784</v>
      </c>
      <c r="D303" s="403">
        <v>75</v>
      </c>
      <c r="E303" s="402">
        <v>70</v>
      </c>
      <c r="F303" s="402">
        <v>60</v>
      </c>
      <c r="G303" s="402">
        <v>30</v>
      </c>
      <c r="H303" s="402">
        <v>6</v>
      </c>
      <c r="I303" s="402">
        <v>2</v>
      </c>
      <c r="J303" s="402" t="s">
        <v>1137</v>
      </c>
      <c r="K303" s="402">
        <v>35</v>
      </c>
      <c r="L303" s="418" t="s">
        <v>1138</v>
      </c>
      <c r="M303" s="403" t="s">
        <v>419</v>
      </c>
      <c r="N303" s="402" t="s">
        <v>1139</v>
      </c>
      <c r="O303" s="401"/>
      <c r="P303" s="405"/>
      <c r="Q303" s="405"/>
      <c r="R303" s="407"/>
      <c r="S303" s="405"/>
      <c r="T303" s="405"/>
      <c r="U303" s="407"/>
      <c r="V303" s="408"/>
      <c r="W303" s="405"/>
      <c r="X303" s="406"/>
      <c r="Y303" s="379"/>
      <c r="Z303" s="379"/>
    </row>
    <row r="304" spans="1:26" ht="61.2">
      <c r="A304" s="400" t="s">
        <v>1758</v>
      </c>
      <c r="B304" s="401" t="s">
        <v>1785</v>
      </c>
      <c r="C304" s="402" t="s">
        <v>1301</v>
      </c>
      <c r="D304" s="403">
        <v>75</v>
      </c>
      <c r="E304" s="402">
        <v>70</v>
      </c>
      <c r="F304" s="402">
        <v>60</v>
      </c>
      <c r="G304" s="402">
        <v>30</v>
      </c>
      <c r="H304" s="402">
        <v>6</v>
      </c>
      <c r="I304" s="402">
        <v>2</v>
      </c>
      <c r="J304" s="402" t="s">
        <v>1137</v>
      </c>
      <c r="K304" s="402">
        <v>40</v>
      </c>
      <c r="L304" s="418" t="s">
        <v>1124</v>
      </c>
      <c r="M304" s="403" t="s">
        <v>419</v>
      </c>
      <c r="N304" s="402" t="s">
        <v>1139</v>
      </c>
      <c r="O304" s="401"/>
      <c r="P304" s="405" t="s">
        <v>1786</v>
      </c>
      <c r="Q304" s="405"/>
      <c r="R304" s="407"/>
      <c r="S304" s="405"/>
      <c r="T304" s="405"/>
      <c r="U304" s="407"/>
      <c r="V304" s="408"/>
      <c r="W304" s="405"/>
      <c r="X304" s="406"/>
      <c r="Y304" s="379"/>
      <c r="Z304" s="379"/>
    </row>
    <row r="305" spans="1:26" ht="61.2">
      <c r="A305" s="400" t="s">
        <v>1758</v>
      </c>
      <c r="B305" s="401" t="s">
        <v>1787</v>
      </c>
      <c r="C305" s="402" t="s">
        <v>1788</v>
      </c>
      <c r="D305" s="403">
        <v>75</v>
      </c>
      <c r="E305" s="402">
        <v>70</v>
      </c>
      <c r="F305" s="402">
        <v>60</v>
      </c>
      <c r="G305" s="402">
        <v>30</v>
      </c>
      <c r="H305" s="402">
        <v>4</v>
      </c>
      <c r="I305" s="402">
        <v>2</v>
      </c>
      <c r="J305" s="402" t="s">
        <v>1137</v>
      </c>
      <c r="K305" s="402">
        <v>40</v>
      </c>
      <c r="L305" s="418" t="s">
        <v>1124</v>
      </c>
      <c r="M305" s="403" t="s">
        <v>419</v>
      </c>
      <c r="N305" s="402" t="s">
        <v>1139</v>
      </c>
      <c r="O305" s="401"/>
      <c r="P305" s="405" t="s">
        <v>1789</v>
      </c>
      <c r="Q305" s="405"/>
      <c r="R305" s="407"/>
      <c r="S305" s="405"/>
      <c r="T305" s="405"/>
      <c r="U305" s="407"/>
      <c r="V305" s="408"/>
      <c r="W305" s="405"/>
      <c r="X305" s="406"/>
      <c r="Y305" s="379"/>
      <c r="Z305" s="379"/>
    </row>
    <row r="306" spans="1:26">
      <c r="A306" s="400" t="s">
        <v>1758</v>
      </c>
      <c r="B306" s="401" t="s">
        <v>1516</v>
      </c>
      <c r="C306" s="402" t="s">
        <v>1790</v>
      </c>
      <c r="D306" s="403">
        <v>75</v>
      </c>
      <c r="E306" s="402">
        <v>70</v>
      </c>
      <c r="F306" s="402">
        <v>60</v>
      </c>
      <c r="G306" s="402">
        <v>30</v>
      </c>
      <c r="H306" s="402">
        <v>6</v>
      </c>
      <c r="I306" s="402">
        <v>2</v>
      </c>
      <c r="J306" s="402" t="s">
        <v>1137</v>
      </c>
      <c r="K306" s="402">
        <v>40</v>
      </c>
      <c r="L306" s="418" t="s">
        <v>1138</v>
      </c>
      <c r="M306" s="403" t="s">
        <v>419</v>
      </c>
      <c r="N306" s="402" t="s">
        <v>1139</v>
      </c>
      <c r="O306" s="401"/>
      <c r="P306" s="405"/>
      <c r="Q306" s="405"/>
      <c r="R306" s="407"/>
      <c r="S306" s="405"/>
      <c r="T306" s="405"/>
      <c r="U306" s="407"/>
      <c r="V306" s="408"/>
      <c r="W306" s="405"/>
      <c r="X306" s="406"/>
      <c r="Y306" s="379"/>
      <c r="Z306" s="379"/>
    </row>
    <row r="307" spans="1:26">
      <c r="A307" s="400" t="s">
        <v>1758</v>
      </c>
      <c r="B307" s="401" t="s">
        <v>1791</v>
      </c>
      <c r="C307" s="402" t="s">
        <v>1792</v>
      </c>
      <c r="D307" s="403">
        <v>75</v>
      </c>
      <c r="E307" s="402">
        <v>70</v>
      </c>
      <c r="F307" s="402">
        <v>60</v>
      </c>
      <c r="G307" s="402">
        <v>30</v>
      </c>
      <c r="H307" s="402">
        <v>6</v>
      </c>
      <c r="I307" s="402">
        <v>2</v>
      </c>
      <c r="J307" s="402" t="s">
        <v>1137</v>
      </c>
      <c r="K307" s="402">
        <v>35</v>
      </c>
      <c r="L307" s="418" t="s">
        <v>1138</v>
      </c>
      <c r="M307" s="403" t="s">
        <v>419</v>
      </c>
      <c r="N307" s="402" t="s">
        <v>1139</v>
      </c>
      <c r="O307" s="401"/>
      <c r="P307" s="405"/>
      <c r="Q307" s="405"/>
      <c r="R307" s="407"/>
      <c r="S307" s="405"/>
      <c r="T307" s="405"/>
      <c r="U307" s="407"/>
      <c r="V307" s="408"/>
      <c r="W307" s="405"/>
      <c r="X307" s="406"/>
      <c r="Y307" s="379"/>
      <c r="Z307" s="379"/>
    </row>
    <row r="308" spans="1:26" ht="163.19999999999999">
      <c r="A308" s="400" t="s">
        <v>1793</v>
      </c>
      <c r="B308" s="401" t="s">
        <v>1794</v>
      </c>
      <c r="C308" s="402" t="s">
        <v>1795</v>
      </c>
      <c r="D308" s="403">
        <v>75</v>
      </c>
      <c r="E308" s="402">
        <v>70</v>
      </c>
      <c r="F308" s="402">
        <v>60</v>
      </c>
      <c r="G308" s="402">
        <v>30</v>
      </c>
      <c r="H308" s="402">
        <v>4</v>
      </c>
      <c r="I308" s="402">
        <v>2</v>
      </c>
      <c r="J308" s="402" t="s">
        <v>1137</v>
      </c>
      <c r="K308" s="402">
        <v>35</v>
      </c>
      <c r="L308" s="418" t="s">
        <v>1138</v>
      </c>
      <c r="M308" s="403" t="s">
        <v>419</v>
      </c>
      <c r="N308" s="402" t="s">
        <v>1139</v>
      </c>
      <c r="O308" s="401"/>
      <c r="P308" s="405" t="s">
        <v>1766</v>
      </c>
      <c r="Q308" s="405" t="s">
        <v>1762</v>
      </c>
      <c r="R308" s="407" t="s">
        <v>1763</v>
      </c>
      <c r="S308" s="405" t="s">
        <v>1796</v>
      </c>
      <c r="T308" s="405" t="s">
        <v>1797</v>
      </c>
      <c r="U308" s="407"/>
      <c r="V308" s="408"/>
      <c r="W308" s="405"/>
      <c r="X308" s="406"/>
      <c r="Y308" s="379"/>
      <c r="Z308" s="379"/>
    </row>
    <row r="309" spans="1:26" ht="163.19999999999999">
      <c r="A309" s="400" t="s">
        <v>1793</v>
      </c>
      <c r="B309" s="401" t="s">
        <v>1520</v>
      </c>
      <c r="C309" s="402" t="s">
        <v>1798</v>
      </c>
      <c r="D309" s="403">
        <v>75</v>
      </c>
      <c r="E309" s="402">
        <v>70</v>
      </c>
      <c r="F309" s="402">
        <v>60</v>
      </c>
      <c r="G309" s="402">
        <v>30</v>
      </c>
      <c r="H309" s="402">
        <v>6</v>
      </c>
      <c r="I309" s="402">
        <v>2</v>
      </c>
      <c r="J309" s="402" t="s">
        <v>1137</v>
      </c>
      <c r="K309" s="402">
        <v>35</v>
      </c>
      <c r="L309" s="418" t="s">
        <v>1221</v>
      </c>
      <c r="M309" s="403" t="s">
        <v>419</v>
      </c>
      <c r="N309" s="402" t="s">
        <v>1139</v>
      </c>
      <c r="O309" s="401"/>
      <c r="P309" s="405" t="s">
        <v>1766</v>
      </c>
      <c r="Q309" s="405" t="s">
        <v>1762</v>
      </c>
      <c r="R309" s="407" t="s">
        <v>1763</v>
      </c>
      <c r="S309" s="405"/>
      <c r="T309" s="405"/>
      <c r="U309" s="407"/>
      <c r="V309" s="408"/>
      <c r="W309" s="405"/>
      <c r="X309" s="406"/>
      <c r="Y309" s="379"/>
      <c r="Z309" s="379"/>
    </row>
    <row r="310" spans="1:26" ht="163.19999999999999">
      <c r="A310" s="400" t="s">
        <v>1793</v>
      </c>
      <c r="B310" s="401" t="s">
        <v>1764</v>
      </c>
      <c r="C310" s="402" t="s">
        <v>1799</v>
      </c>
      <c r="D310" s="403" t="s">
        <v>404</v>
      </c>
      <c r="E310" s="402">
        <v>68</v>
      </c>
      <c r="F310" s="402" t="s">
        <v>404</v>
      </c>
      <c r="G310" s="402">
        <v>30</v>
      </c>
      <c r="H310" s="402">
        <v>10</v>
      </c>
      <c r="I310" s="402" t="s">
        <v>404</v>
      </c>
      <c r="J310" s="402" t="s">
        <v>1123</v>
      </c>
      <c r="K310" s="402">
        <v>35</v>
      </c>
      <c r="L310" s="418" t="s">
        <v>1339</v>
      </c>
      <c r="M310" s="403" t="s">
        <v>415</v>
      </c>
      <c r="N310" s="402" t="s">
        <v>1112</v>
      </c>
      <c r="O310" s="401"/>
      <c r="P310" s="405" t="s">
        <v>1766</v>
      </c>
      <c r="Q310" s="405" t="s">
        <v>1762</v>
      </c>
      <c r="R310" s="407" t="s">
        <v>1763</v>
      </c>
      <c r="S310" s="405" t="s">
        <v>1772</v>
      </c>
      <c r="T310" s="405" t="s">
        <v>1800</v>
      </c>
      <c r="U310" s="407"/>
      <c r="V310" s="408"/>
      <c r="W310" s="405"/>
      <c r="X310" s="406"/>
      <c r="Y310" s="379"/>
      <c r="Z310" s="379"/>
    </row>
    <row r="311" spans="1:26" ht="163.19999999999999">
      <c r="A311" s="400" t="s">
        <v>1793</v>
      </c>
      <c r="B311" s="401" t="s">
        <v>1801</v>
      </c>
      <c r="C311" s="402" t="s">
        <v>1770</v>
      </c>
      <c r="D311" s="403">
        <v>75</v>
      </c>
      <c r="E311" s="402">
        <v>70</v>
      </c>
      <c r="F311" s="402">
        <v>60</v>
      </c>
      <c r="G311" s="402">
        <v>30</v>
      </c>
      <c r="H311" s="402">
        <v>6</v>
      </c>
      <c r="I311" s="402">
        <v>2</v>
      </c>
      <c r="J311" s="402" t="s">
        <v>1137</v>
      </c>
      <c r="K311" s="402">
        <v>35</v>
      </c>
      <c r="L311" s="418" t="s">
        <v>1138</v>
      </c>
      <c r="M311" s="403" t="s">
        <v>419</v>
      </c>
      <c r="N311" s="402" t="s">
        <v>1139</v>
      </c>
      <c r="O311" s="401"/>
      <c r="P311" s="405" t="s">
        <v>1766</v>
      </c>
      <c r="Q311" s="405" t="s">
        <v>1762</v>
      </c>
      <c r="R311" s="407" t="s">
        <v>1763</v>
      </c>
      <c r="S311" s="405"/>
      <c r="T311" s="405"/>
      <c r="U311" s="407"/>
      <c r="V311" s="408"/>
      <c r="W311" s="405"/>
      <c r="X311" s="406"/>
      <c r="Y311" s="379"/>
      <c r="Z311" s="379"/>
    </row>
    <row r="312" spans="1:26" ht="163.19999999999999">
      <c r="A312" s="400" t="s">
        <v>1793</v>
      </c>
      <c r="B312" s="401" t="s">
        <v>1764</v>
      </c>
      <c r="C312" s="402" t="s">
        <v>1771</v>
      </c>
      <c r="D312" s="403" t="s">
        <v>404</v>
      </c>
      <c r="E312" s="402">
        <v>68</v>
      </c>
      <c r="F312" s="402" t="s">
        <v>404</v>
      </c>
      <c r="G312" s="402">
        <v>30</v>
      </c>
      <c r="H312" s="402">
        <v>10</v>
      </c>
      <c r="I312" s="402" t="s">
        <v>404</v>
      </c>
      <c r="J312" s="402" t="s">
        <v>1123</v>
      </c>
      <c r="K312" s="402">
        <v>35</v>
      </c>
      <c r="L312" s="418" t="s">
        <v>1339</v>
      </c>
      <c r="M312" s="403" t="s">
        <v>415</v>
      </c>
      <c r="N312" s="402" t="s">
        <v>1112</v>
      </c>
      <c r="O312" s="401"/>
      <c r="P312" s="405" t="s">
        <v>1766</v>
      </c>
      <c r="Q312" s="405" t="s">
        <v>1802</v>
      </c>
      <c r="R312" s="407" t="s">
        <v>1763</v>
      </c>
      <c r="S312" s="405" t="s">
        <v>1778</v>
      </c>
      <c r="T312" s="405" t="s">
        <v>1800</v>
      </c>
      <c r="U312" s="407"/>
      <c r="V312" s="408"/>
      <c r="W312" s="405"/>
      <c r="X312" s="406"/>
      <c r="Y312" s="379"/>
      <c r="Z312" s="379"/>
    </row>
    <row r="313" spans="1:26" ht="30.6">
      <c r="A313" s="400" t="s">
        <v>1793</v>
      </c>
      <c r="B313" s="401" t="s">
        <v>1516</v>
      </c>
      <c r="C313" s="402" t="s">
        <v>1803</v>
      </c>
      <c r="D313" s="403">
        <v>75</v>
      </c>
      <c r="E313" s="402">
        <v>70</v>
      </c>
      <c r="F313" s="402">
        <v>60</v>
      </c>
      <c r="G313" s="402">
        <v>30</v>
      </c>
      <c r="H313" s="402">
        <v>6</v>
      </c>
      <c r="I313" s="402">
        <v>2</v>
      </c>
      <c r="J313" s="402" t="s">
        <v>1137</v>
      </c>
      <c r="K313" s="402">
        <v>35</v>
      </c>
      <c r="L313" s="418" t="s">
        <v>1138</v>
      </c>
      <c r="M313" s="403" t="s">
        <v>419</v>
      </c>
      <c r="N313" s="402" t="s">
        <v>1139</v>
      </c>
      <c r="O313" s="401"/>
      <c r="P313" s="405" t="s">
        <v>1804</v>
      </c>
      <c r="Q313" s="405"/>
      <c r="R313" s="407"/>
      <c r="S313" s="405"/>
      <c r="T313" s="405"/>
      <c r="U313" s="407"/>
      <c r="V313" s="408"/>
      <c r="W313" s="405"/>
      <c r="X313" s="406"/>
      <c r="Y313" s="379"/>
      <c r="Z313" s="379"/>
    </row>
    <row r="314" spans="1:26" ht="30.6">
      <c r="A314" s="400" t="s">
        <v>1793</v>
      </c>
      <c r="B314" s="401" t="s">
        <v>1785</v>
      </c>
      <c r="C314" s="402" t="s">
        <v>1805</v>
      </c>
      <c r="D314" s="403">
        <v>75</v>
      </c>
      <c r="E314" s="402">
        <v>70</v>
      </c>
      <c r="F314" s="402">
        <v>60</v>
      </c>
      <c r="G314" s="402">
        <v>30</v>
      </c>
      <c r="H314" s="402">
        <v>6</v>
      </c>
      <c r="I314" s="402">
        <v>2</v>
      </c>
      <c r="J314" s="402" t="s">
        <v>1137</v>
      </c>
      <c r="K314" s="402">
        <v>35</v>
      </c>
      <c r="L314" s="418" t="s">
        <v>1138</v>
      </c>
      <c r="M314" s="403" t="s">
        <v>419</v>
      </c>
      <c r="N314" s="402" t="s">
        <v>1139</v>
      </c>
      <c r="O314" s="401"/>
      <c r="P314" s="405" t="s">
        <v>1804</v>
      </c>
      <c r="Q314" s="405"/>
      <c r="R314" s="407"/>
      <c r="S314" s="405"/>
      <c r="T314" s="405"/>
      <c r="U314" s="407"/>
      <c r="V314" s="408"/>
      <c r="W314" s="405"/>
      <c r="X314" s="406"/>
      <c r="Y314" s="379"/>
      <c r="Z314" s="379"/>
    </row>
    <row r="315" spans="1:26" ht="122.4">
      <c r="A315" s="400" t="s">
        <v>1793</v>
      </c>
      <c r="B315" s="401" t="s">
        <v>1304</v>
      </c>
      <c r="C315" s="402" t="s">
        <v>1806</v>
      </c>
      <c r="D315" s="403">
        <v>75</v>
      </c>
      <c r="E315" s="402">
        <v>70</v>
      </c>
      <c r="F315" s="402">
        <v>60</v>
      </c>
      <c r="G315" s="402">
        <v>30</v>
      </c>
      <c r="H315" s="402">
        <v>6</v>
      </c>
      <c r="I315" s="402">
        <v>2</v>
      </c>
      <c r="J315" s="402" t="s">
        <v>1137</v>
      </c>
      <c r="K315" s="402">
        <v>35</v>
      </c>
      <c r="L315" s="418" t="s">
        <v>1138</v>
      </c>
      <c r="M315" s="403" t="s">
        <v>419</v>
      </c>
      <c r="N315" s="402" t="s">
        <v>1139</v>
      </c>
      <c r="O315" s="401"/>
      <c r="P315" s="405" t="s">
        <v>1804</v>
      </c>
      <c r="Q315" s="405" t="s">
        <v>1807</v>
      </c>
      <c r="R315" s="407"/>
      <c r="S315" s="405"/>
      <c r="T315" s="405"/>
      <c r="U315" s="407"/>
      <c r="V315" s="408"/>
      <c r="W315" s="405"/>
      <c r="X315" s="406"/>
      <c r="Y315" s="379"/>
      <c r="Z315" s="379"/>
    </row>
    <row r="316" spans="1:26" ht="30.6">
      <c r="A316" s="400" t="s">
        <v>1793</v>
      </c>
      <c r="B316" s="401" t="s">
        <v>1516</v>
      </c>
      <c r="C316" s="402" t="s">
        <v>1808</v>
      </c>
      <c r="D316" s="403">
        <v>75</v>
      </c>
      <c r="E316" s="402">
        <v>70</v>
      </c>
      <c r="F316" s="402">
        <v>60</v>
      </c>
      <c r="G316" s="402">
        <v>30</v>
      </c>
      <c r="H316" s="402">
        <v>6</v>
      </c>
      <c r="I316" s="402">
        <v>2</v>
      </c>
      <c r="J316" s="402" t="s">
        <v>1137</v>
      </c>
      <c r="K316" s="402">
        <v>40</v>
      </c>
      <c r="L316" s="418" t="s">
        <v>1138</v>
      </c>
      <c r="M316" s="403" t="s">
        <v>419</v>
      </c>
      <c r="N316" s="402" t="s">
        <v>1139</v>
      </c>
      <c r="O316" s="401"/>
      <c r="P316" s="405" t="s">
        <v>1804</v>
      </c>
      <c r="Q316" s="405"/>
      <c r="R316" s="407"/>
      <c r="S316" s="405"/>
      <c r="T316" s="405"/>
      <c r="U316" s="407"/>
      <c r="V316" s="408"/>
      <c r="W316" s="405"/>
      <c r="X316" s="406"/>
      <c r="Y316" s="379"/>
      <c r="Z316" s="379"/>
    </row>
    <row r="317" spans="1:26" ht="132.6">
      <c r="A317" s="400" t="s">
        <v>1793</v>
      </c>
      <c r="B317" s="401" t="s">
        <v>1304</v>
      </c>
      <c r="C317" s="402" t="s">
        <v>1809</v>
      </c>
      <c r="D317" s="403">
        <v>75</v>
      </c>
      <c r="E317" s="402">
        <v>70</v>
      </c>
      <c r="F317" s="402">
        <v>60</v>
      </c>
      <c r="G317" s="402">
        <v>30</v>
      </c>
      <c r="H317" s="402">
        <v>6</v>
      </c>
      <c r="I317" s="402">
        <v>2</v>
      </c>
      <c r="J317" s="402" t="s">
        <v>1137</v>
      </c>
      <c r="K317" s="402">
        <v>40</v>
      </c>
      <c r="L317" s="418" t="s">
        <v>1138</v>
      </c>
      <c r="M317" s="403" t="s">
        <v>419</v>
      </c>
      <c r="N317" s="402" t="s">
        <v>1139</v>
      </c>
      <c r="O317" s="401"/>
      <c r="P317" s="405" t="s">
        <v>1804</v>
      </c>
      <c r="Q317" s="405" t="s">
        <v>1810</v>
      </c>
      <c r="R317" s="407" t="s">
        <v>1811</v>
      </c>
      <c r="S317" s="405"/>
      <c r="T317" s="405"/>
      <c r="U317" s="407"/>
      <c r="V317" s="408"/>
      <c r="W317" s="405"/>
      <c r="X317" s="406"/>
      <c r="Y317" s="379"/>
      <c r="Z317" s="379"/>
    </row>
    <row r="318" spans="1:26" ht="30.6">
      <c r="A318" s="400" t="s">
        <v>1793</v>
      </c>
      <c r="B318" s="401" t="s">
        <v>1812</v>
      </c>
      <c r="C318" s="402" t="s">
        <v>1813</v>
      </c>
      <c r="D318" s="403">
        <v>75</v>
      </c>
      <c r="E318" s="402">
        <v>70</v>
      </c>
      <c r="F318" s="402">
        <v>60</v>
      </c>
      <c r="G318" s="402">
        <v>30</v>
      </c>
      <c r="H318" s="402">
        <v>6</v>
      </c>
      <c r="I318" s="402">
        <v>2</v>
      </c>
      <c r="J318" s="402" t="s">
        <v>1137</v>
      </c>
      <c r="K318" s="402">
        <v>35</v>
      </c>
      <c r="L318" s="418" t="s">
        <v>1138</v>
      </c>
      <c r="M318" s="403" t="s">
        <v>419</v>
      </c>
      <c r="N318" s="402" t="s">
        <v>1139</v>
      </c>
      <c r="O318" s="401"/>
      <c r="P318" s="405" t="s">
        <v>1804</v>
      </c>
      <c r="Q318" s="405"/>
      <c r="R318" s="407"/>
      <c r="S318" s="405"/>
      <c r="T318" s="405"/>
      <c r="U318" s="407"/>
      <c r="V318" s="408"/>
      <c r="W318" s="405"/>
      <c r="X318" s="406"/>
      <c r="Y318" s="379"/>
      <c r="Z318" s="379"/>
    </row>
    <row r="319" spans="1:26" ht="119.25" customHeight="1">
      <c r="A319" s="400" t="s">
        <v>1793</v>
      </c>
      <c r="B319" s="401" t="s">
        <v>1785</v>
      </c>
      <c r="C319" s="402" t="s">
        <v>1301</v>
      </c>
      <c r="D319" s="403">
        <v>75</v>
      </c>
      <c r="E319" s="402">
        <v>70</v>
      </c>
      <c r="F319" s="402">
        <v>60</v>
      </c>
      <c r="G319" s="402">
        <v>30</v>
      </c>
      <c r="H319" s="402">
        <v>6</v>
      </c>
      <c r="I319" s="402">
        <v>2</v>
      </c>
      <c r="J319" s="402" t="s">
        <v>1137</v>
      </c>
      <c r="K319" s="402">
        <v>40</v>
      </c>
      <c r="L319" s="418" t="s">
        <v>1138</v>
      </c>
      <c r="M319" s="403" t="s">
        <v>419</v>
      </c>
      <c r="N319" s="402" t="s">
        <v>1139</v>
      </c>
      <c r="O319" s="401"/>
      <c r="P319" s="405" t="s">
        <v>1804</v>
      </c>
      <c r="Q319" s="405" t="s">
        <v>1814</v>
      </c>
      <c r="R319" s="407"/>
      <c r="S319" s="405"/>
      <c r="T319" s="405"/>
      <c r="U319" s="407"/>
      <c r="V319" s="408"/>
      <c r="W319" s="405"/>
      <c r="X319" s="406"/>
      <c r="Y319" s="379"/>
      <c r="Z319" s="379"/>
    </row>
    <row r="320" spans="1:26" ht="112.2">
      <c r="A320" s="400" t="s">
        <v>1793</v>
      </c>
      <c r="B320" s="401" t="s">
        <v>1787</v>
      </c>
      <c r="C320" s="402" t="s">
        <v>1788</v>
      </c>
      <c r="D320" s="403">
        <v>75</v>
      </c>
      <c r="E320" s="402">
        <v>70</v>
      </c>
      <c r="F320" s="402">
        <v>60</v>
      </c>
      <c r="G320" s="402">
        <v>30</v>
      </c>
      <c r="H320" s="402">
        <v>6</v>
      </c>
      <c r="I320" s="402">
        <v>2</v>
      </c>
      <c r="J320" s="402" t="s">
        <v>1096</v>
      </c>
      <c r="K320" s="402">
        <v>40</v>
      </c>
      <c r="L320" s="418" t="s">
        <v>1096</v>
      </c>
      <c r="M320" s="403" t="s">
        <v>419</v>
      </c>
      <c r="N320" s="402" t="s">
        <v>1139</v>
      </c>
      <c r="O320" s="401"/>
      <c r="P320" s="405" t="s">
        <v>1815</v>
      </c>
      <c r="Q320" s="405"/>
      <c r="R320" s="407"/>
      <c r="S320" s="405"/>
      <c r="T320" s="405"/>
      <c r="U320" s="407"/>
      <c r="V320" s="408"/>
      <c r="W320" s="405"/>
      <c r="X320" s="406"/>
      <c r="Y320" s="379"/>
      <c r="Z320" s="379"/>
    </row>
    <row r="321" spans="1:26" s="387" customFormat="1" ht="224.4">
      <c r="A321" s="400" t="s">
        <v>1793</v>
      </c>
      <c r="B321" s="401" t="s">
        <v>1304</v>
      </c>
      <c r="C321" s="402" t="s">
        <v>1816</v>
      </c>
      <c r="D321" s="403">
        <v>75</v>
      </c>
      <c r="E321" s="402">
        <v>70</v>
      </c>
      <c r="F321" s="402">
        <v>60</v>
      </c>
      <c r="G321" s="402" t="s">
        <v>404</v>
      </c>
      <c r="H321" s="402">
        <v>6</v>
      </c>
      <c r="I321" s="402">
        <v>2</v>
      </c>
      <c r="J321" s="402" t="s">
        <v>1306</v>
      </c>
      <c r="K321" s="402">
        <v>40</v>
      </c>
      <c r="L321" s="418" t="s">
        <v>1339</v>
      </c>
      <c r="M321" s="403" t="s">
        <v>419</v>
      </c>
      <c r="N321" s="402" t="s">
        <v>1112</v>
      </c>
      <c r="O321" s="401"/>
      <c r="P321" s="405" t="s">
        <v>1307</v>
      </c>
      <c r="Q321" s="405" t="s">
        <v>1817</v>
      </c>
      <c r="R321" s="407" t="s">
        <v>1818</v>
      </c>
      <c r="S321" s="405" t="s">
        <v>1819</v>
      </c>
      <c r="T321" s="405"/>
      <c r="U321" s="407"/>
      <c r="V321" s="408"/>
      <c r="W321" s="405"/>
      <c r="X321" s="406"/>
    </row>
    <row r="322" spans="1:26" ht="30.6">
      <c r="A322" s="400" t="s">
        <v>1793</v>
      </c>
      <c r="B322" s="401" t="s">
        <v>1516</v>
      </c>
      <c r="C322" s="402" t="s">
        <v>1820</v>
      </c>
      <c r="D322" s="403">
        <v>75</v>
      </c>
      <c r="E322" s="402">
        <v>70</v>
      </c>
      <c r="F322" s="402">
        <v>60</v>
      </c>
      <c r="G322" s="402">
        <v>30</v>
      </c>
      <c r="H322" s="402">
        <v>6</v>
      </c>
      <c r="I322" s="402">
        <v>2</v>
      </c>
      <c r="J322" s="402" t="s">
        <v>1137</v>
      </c>
      <c r="K322" s="402">
        <v>40</v>
      </c>
      <c r="L322" s="418" t="s">
        <v>1138</v>
      </c>
      <c r="M322" s="403" t="s">
        <v>419</v>
      </c>
      <c r="N322" s="402" t="s">
        <v>1139</v>
      </c>
      <c r="O322" s="401"/>
      <c r="P322" s="405" t="s">
        <v>1804</v>
      </c>
      <c r="Q322" s="405"/>
      <c r="R322" s="407"/>
      <c r="S322" s="405"/>
      <c r="T322" s="405"/>
      <c r="U322" s="407"/>
      <c r="V322" s="408"/>
      <c r="W322" s="405"/>
      <c r="X322" s="406"/>
      <c r="Y322" s="379"/>
      <c r="Z322" s="379"/>
    </row>
    <row r="323" spans="1:26" ht="162.75" customHeight="1">
      <c r="A323" s="400" t="s">
        <v>1821</v>
      </c>
      <c r="B323" s="401" t="s">
        <v>1822</v>
      </c>
      <c r="C323" s="402" t="s">
        <v>1417</v>
      </c>
      <c r="D323" s="403">
        <v>75</v>
      </c>
      <c r="E323" s="402">
        <v>70</v>
      </c>
      <c r="F323" s="402">
        <v>60</v>
      </c>
      <c r="G323" s="402">
        <v>30</v>
      </c>
      <c r="H323" s="402">
        <v>6</v>
      </c>
      <c r="I323" s="402">
        <v>2</v>
      </c>
      <c r="J323" s="402" t="s">
        <v>1137</v>
      </c>
      <c r="K323" s="402">
        <v>35</v>
      </c>
      <c r="L323" s="418" t="s">
        <v>1138</v>
      </c>
      <c r="M323" s="403" t="s">
        <v>419</v>
      </c>
      <c r="N323" s="402" t="s">
        <v>1139</v>
      </c>
      <c r="O323" s="401"/>
      <c r="P323" s="405" t="s">
        <v>1823</v>
      </c>
      <c r="Q323" s="405"/>
      <c r="R323" s="407"/>
      <c r="S323" s="405"/>
      <c r="T323" s="405"/>
      <c r="U323" s="407"/>
      <c r="V323" s="405"/>
      <c r="W323" s="405"/>
      <c r="X323" s="406"/>
      <c r="Y323" s="379"/>
      <c r="Z323" s="379"/>
    </row>
    <row r="324" spans="1:26" ht="40.799999999999997">
      <c r="A324" s="400" t="s">
        <v>1821</v>
      </c>
      <c r="B324" s="401" t="s">
        <v>1824</v>
      </c>
      <c r="C324" s="402" t="s">
        <v>1825</v>
      </c>
      <c r="D324" s="403">
        <v>75</v>
      </c>
      <c r="E324" s="402">
        <v>70</v>
      </c>
      <c r="F324" s="402">
        <v>60</v>
      </c>
      <c r="G324" s="402">
        <v>30</v>
      </c>
      <c r="H324" s="402">
        <v>6</v>
      </c>
      <c r="I324" s="402">
        <v>2</v>
      </c>
      <c r="J324" s="402" t="s">
        <v>1137</v>
      </c>
      <c r="K324" s="402">
        <v>35</v>
      </c>
      <c r="L324" s="418" t="s">
        <v>1138</v>
      </c>
      <c r="M324" s="403" t="s">
        <v>419</v>
      </c>
      <c r="N324" s="402" t="s">
        <v>1139</v>
      </c>
      <c r="O324" s="401"/>
      <c r="P324" s="405" t="s">
        <v>1823</v>
      </c>
      <c r="Q324" s="405"/>
      <c r="R324" s="407"/>
      <c r="S324" s="405"/>
      <c r="T324" s="405"/>
      <c r="U324" s="407"/>
      <c r="V324" s="405"/>
      <c r="W324" s="405"/>
      <c r="X324" s="406"/>
      <c r="Y324" s="379"/>
      <c r="Z324" s="379"/>
    </row>
    <row r="325" spans="1:26">
      <c r="A325" s="400" t="s">
        <v>1821</v>
      </c>
      <c r="B325" s="401" t="s">
        <v>1791</v>
      </c>
      <c r="C325" s="402" t="s">
        <v>1826</v>
      </c>
      <c r="D325" s="403">
        <v>75</v>
      </c>
      <c r="E325" s="402">
        <v>70</v>
      </c>
      <c r="F325" s="402">
        <v>60</v>
      </c>
      <c r="G325" s="402">
        <v>30</v>
      </c>
      <c r="H325" s="402">
        <v>6</v>
      </c>
      <c r="I325" s="402">
        <v>2</v>
      </c>
      <c r="J325" s="402" t="s">
        <v>1137</v>
      </c>
      <c r="K325" s="402">
        <v>35</v>
      </c>
      <c r="L325" s="418" t="s">
        <v>1138</v>
      </c>
      <c r="M325" s="403" t="s">
        <v>419</v>
      </c>
      <c r="N325" s="402" t="s">
        <v>1139</v>
      </c>
      <c r="O325" s="401"/>
      <c r="P325" s="405"/>
      <c r="Q325" s="405"/>
      <c r="R325" s="407"/>
      <c r="S325" s="405"/>
      <c r="T325" s="405"/>
      <c r="U325" s="407"/>
      <c r="V325" s="405"/>
      <c r="W325" s="405"/>
      <c r="X325" s="406"/>
      <c r="Y325" s="379"/>
      <c r="Z325" s="379"/>
    </row>
    <row r="326" spans="1:26">
      <c r="A326" s="400" t="s">
        <v>1821</v>
      </c>
      <c r="B326" s="401" t="s">
        <v>1827</v>
      </c>
      <c r="C326" s="402" t="s">
        <v>1828</v>
      </c>
      <c r="D326" s="403">
        <v>75</v>
      </c>
      <c r="E326" s="402">
        <v>70</v>
      </c>
      <c r="F326" s="402">
        <v>60</v>
      </c>
      <c r="G326" s="402">
        <v>30</v>
      </c>
      <c r="H326" s="402">
        <v>4</v>
      </c>
      <c r="I326" s="402">
        <v>2</v>
      </c>
      <c r="J326" s="402" t="s">
        <v>1137</v>
      </c>
      <c r="K326" s="402">
        <v>35</v>
      </c>
      <c r="L326" s="418" t="s">
        <v>1138</v>
      </c>
      <c r="M326" s="403" t="s">
        <v>419</v>
      </c>
      <c r="N326" s="402" t="s">
        <v>1139</v>
      </c>
      <c r="O326" s="401"/>
      <c r="P326" s="405"/>
      <c r="Q326" s="405"/>
      <c r="R326" s="407"/>
      <c r="S326" s="405"/>
      <c r="T326" s="405"/>
      <c r="U326" s="407"/>
      <c r="V326" s="405"/>
      <c r="W326" s="405"/>
      <c r="X326" s="406"/>
      <c r="Y326" s="379"/>
      <c r="Z326" s="379"/>
    </row>
    <row r="327" spans="1:26">
      <c r="A327" s="400" t="s">
        <v>1821</v>
      </c>
      <c r="B327" s="401" t="s">
        <v>1829</v>
      </c>
      <c r="C327" s="402" t="s">
        <v>1830</v>
      </c>
      <c r="D327" s="403">
        <v>75</v>
      </c>
      <c r="E327" s="402">
        <v>70</v>
      </c>
      <c r="F327" s="402">
        <v>60</v>
      </c>
      <c r="G327" s="402">
        <v>30</v>
      </c>
      <c r="H327" s="402">
        <v>6</v>
      </c>
      <c r="I327" s="402">
        <v>2</v>
      </c>
      <c r="J327" s="402" t="s">
        <v>1137</v>
      </c>
      <c r="K327" s="402">
        <v>35</v>
      </c>
      <c r="L327" s="418" t="s">
        <v>1138</v>
      </c>
      <c r="M327" s="403" t="s">
        <v>419</v>
      </c>
      <c r="N327" s="402" t="s">
        <v>1139</v>
      </c>
      <c r="O327" s="401"/>
      <c r="P327" s="405"/>
      <c r="Q327" s="405"/>
      <c r="R327" s="407"/>
      <c r="S327" s="405"/>
      <c r="T327" s="405"/>
      <c r="U327" s="407"/>
      <c r="V327" s="405"/>
      <c r="W327" s="405"/>
      <c r="X327" s="406"/>
      <c r="Y327" s="379"/>
      <c r="Z327" s="379"/>
    </row>
    <row r="328" spans="1:26" ht="20.399999999999999">
      <c r="A328" s="400" t="s">
        <v>1821</v>
      </c>
      <c r="B328" s="401" t="s">
        <v>1831</v>
      </c>
      <c r="C328" s="402" t="s">
        <v>1832</v>
      </c>
      <c r="D328" s="403">
        <v>75</v>
      </c>
      <c r="E328" s="402">
        <v>70</v>
      </c>
      <c r="F328" s="402">
        <v>60</v>
      </c>
      <c r="G328" s="402">
        <v>30</v>
      </c>
      <c r="H328" s="402">
        <v>4</v>
      </c>
      <c r="I328" s="402">
        <v>2</v>
      </c>
      <c r="J328" s="402" t="s">
        <v>1137</v>
      </c>
      <c r="K328" s="402">
        <v>35</v>
      </c>
      <c r="L328" s="418" t="s">
        <v>1138</v>
      </c>
      <c r="M328" s="403" t="s">
        <v>419</v>
      </c>
      <c r="N328" s="402" t="s">
        <v>1139</v>
      </c>
      <c r="O328" s="401"/>
      <c r="P328" s="405"/>
      <c r="Q328" s="405"/>
      <c r="R328" s="407"/>
      <c r="S328" s="405"/>
      <c r="T328" s="405"/>
      <c r="U328" s="407"/>
      <c r="V328" s="405"/>
      <c r="W328" s="405"/>
      <c r="X328" s="406"/>
      <c r="Y328" s="379"/>
      <c r="Z328" s="379"/>
    </row>
    <row r="329" spans="1:26">
      <c r="A329" s="400" t="s">
        <v>1821</v>
      </c>
      <c r="B329" s="401" t="s">
        <v>1833</v>
      </c>
      <c r="C329" s="402" t="s">
        <v>1834</v>
      </c>
      <c r="D329" s="403">
        <v>75</v>
      </c>
      <c r="E329" s="402">
        <v>70</v>
      </c>
      <c r="F329" s="402">
        <v>60</v>
      </c>
      <c r="G329" s="402">
        <v>30</v>
      </c>
      <c r="H329" s="402">
        <v>4</v>
      </c>
      <c r="I329" s="402">
        <v>2</v>
      </c>
      <c r="J329" s="402" t="s">
        <v>1137</v>
      </c>
      <c r="K329" s="402">
        <v>35</v>
      </c>
      <c r="L329" s="418" t="s">
        <v>1138</v>
      </c>
      <c r="M329" s="403" t="s">
        <v>419</v>
      </c>
      <c r="N329" s="402" t="s">
        <v>1139</v>
      </c>
      <c r="O329" s="401"/>
      <c r="P329" s="405"/>
      <c r="Q329" s="405"/>
      <c r="R329" s="407"/>
      <c r="S329" s="405"/>
      <c r="T329" s="405"/>
      <c r="U329" s="407"/>
      <c r="V329" s="405"/>
      <c r="W329" s="405"/>
      <c r="X329" s="406"/>
      <c r="Y329" s="379"/>
      <c r="Z329" s="379"/>
    </row>
    <row r="330" spans="1:26">
      <c r="A330" s="400" t="s">
        <v>1821</v>
      </c>
      <c r="B330" s="401" t="s">
        <v>1835</v>
      </c>
      <c r="C330" s="402" t="s">
        <v>1836</v>
      </c>
      <c r="D330" s="403">
        <v>75</v>
      </c>
      <c r="E330" s="402">
        <v>70</v>
      </c>
      <c r="F330" s="402">
        <v>60</v>
      </c>
      <c r="G330" s="402">
        <v>30</v>
      </c>
      <c r="H330" s="402">
        <v>6</v>
      </c>
      <c r="I330" s="402">
        <v>2</v>
      </c>
      <c r="J330" s="402" t="s">
        <v>1137</v>
      </c>
      <c r="K330" s="402">
        <v>40</v>
      </c>
      <c r="L330" s="418" t="s">
        <v>1138</v>
      </c>
      <c r="M330" s="403" t="s">
        <v>419</v>
      </c>
      <c r="N330" s="402" t="s">
        <v>1139</v>
      </c>
      <c r="O330" s="401"/>
      <c r="P330" s="405"/>
      <c r="Q330" s="405"/>
      <c r="R330" s="407"/>
      <c r="S330" s="405"/>
      <c r="T330" s="405"/>
      <c r="U330" s="407"/>
      <c r="V330" s="408"/>
      <c r="W330" s="405"/>
      <c r="X330" s="406"/>
      <c r="Y330" s="379"/>
      <c r="Z330" s="379"/>
    </row>
    <row r="331" spans="1:26">
      <c r="A331" s="400" t="s">
        <v>1821</v>
      </c>
      <c r="B331" s="401" t="s">
        <v>1812</v>
      </c>
      <c r="C331" s="402" t="s">
        <v>1837</v>
      </c>
      <c r="D331" s="403">
        <v>75</v>
      </c>
      <c r="E331" s="402">
        <v>70</v>
      </c>
      <c r="F331" s="402">
        <v>60</v>
      </c>
      <c r="G331" s="402">
        <v>30</v>
      </c>
      <c r="H331" s="402">
        <v>6</v>
      </c>
      <c r="I331" s="402">
        <v>2</v>
      </c>
      <c r="J331" s="402" t="s">
        <v>1137</v>
      </c>
      <c r="K331" s="402">
        <v>35</v>
      </c>
      <c r="L331" s="418" t="s">
        <v>1138</v>
      </c>
      <c r="M331" s="403" t="s">
        <v>419</v>
      </c>
      <c r="N331" s="402" t="s">
        <v>1139</v>
      </c>
      <c r="O331" s="401"/>
      <c r="P331" s="405"/>
      <c r="Q331" s="405"/>
      <c r="R331" s="407"/>
      <c r="S331" s="405"/>
      <c r="T331" s="405"/>
      <c r="U331" s="407"/>
      <c r="V331" s="408"/>
      <c r="W331" s="405"/>
      <c r="X331" s="406"/>
      <c r="Y331" s="379"/>
      <c r="Z331" s="379"/>
    </row>
    <row r="332" spans="1:26" ht="91.8">
      <c r="A332" s="400" t="s">
        <v>1821</v>
      </c>
      <c r="B332" s="401" t="s">
        <v>1838</v>
      </c>
      <c r="C332" s="402" t="s">
        <v>1839</v>
      </c>
      <c r="D332" s="403">
        <v>75</v>
      </c>
      <c r="E332" s="402">
        <v>70</v>
      </c>
      <c r="F332" s="402">
        <v>60</v>
      </c>
      <c r="G332" s="402">
        <v>30</v>
      </c>
      <c r="H332" s="402">
        <v>4</v>
      </c>
      <c r="I332" s="402">
        <v>2</v>
      </c>
      <c r="J332" s="402" t="s">
        <v>1137</v>
      </c>
      <c r="K332" s="402">
        <v>35</v>
      </c>
      <c r="L332" s="418" t="s">
        <v>1138</v>
      </c>
      <c r="M332" s="403" t="s">
        <v>419</v>
      </c>
      <c r="N332" s="402" t="s">
        <v>1139</v>
      </c>
      <c r="O332" s="401"/>
      <c r="P332" s="405" t="s">
        <v>1840</v>
      </c>
      <c r="Q332" s="405" t="s">
        <v>1841</v>
      </c>
      <c r="R332" s="407"/>
      <c r="S332" s="405"/>
      <c r="T332" s="405"/>
      <c r="U332" s="407"/>
      <c r="V332" s="405"/>
      <c r="W332" s="405"/>
      <c r="X332" s="406"/>
      <c r="Y332" s="379"/>
      <c r="Z332" s="379"/>
    </row>
    <row r="333" spans="1:26" ht="40.799999999999997">
      <c r="A333" s="400" t="s">
        <v>1842</v>
      </c>
      <c r="B333" s="401" t="s">
        <v>1843</v>
      </c>
      <c r="C333" s="402" t="s">
        <v>1844</v>
      </c>
      <c r="D333" s="419">
        <v>75</v>
      </c>
      <c r="E333" s="420">
        <v>70</v>
      </c>
      <c r="F333" s="420">
        <v>60</v>
      </c>
      <c r="G333" s="420">
        <v>30</v>
      </c>
      <c r="H333" s="420">
        <v>6</v>
      </c>
      <c r="I333" s="420">
        <v>2</v>
      </c>
      <c r="J333" s="420" t="s">
        <v>1137</v>
      </c>
      <c r="K333" s="420">
        <v>35</v>
      </c>
      <c r="L333" s="402" t="s">
        <v>1145</v>
      </c>
      <c r="M333" s="419" t="s">
        <v>419</v>
      </c>
      <c r="N333" s="420" t="s">
        <v>1139</v>
      </c>
      <c r="O333" s="401"/>
      <c r="P333" s="405" t="s">
        <v>1845</v>
      </c>
      <c r="Q333" s="405"/>
      <c r="R333" s="407"/>
      <c r="S333" s="405"/>
      <c r="T333" s="405"/>
      <c r="U333" s="407"/>
      <c r="V333" s="405"/>
      <c r="W333" s="405"/>
      <c r="X333" s="406"/>
      <c r="Y333" s="379"/>
      <c r="Z333" s="379"/>
    </row>
    <row r="334" spans="1:26">
      <c r="A334" s="400" t="s">
        <v>1842</v>
      </c>
      <c r="B334" s="401" t="s">
        <v>1414</v>
      </c>
      <c r="C334" s="402" t="s">
        <v>1846</v>
      </c>
      <c r="D334" s="403">
        <v>75</v>
      </c>
      <c r="E334" s="402">
        <v>70</v>
      </c>
      <c r="F334" s="402">
        <v>60</v>
      </c>
      <c r="G334" s="402">
        <v>30</v>
      </c>
      <c r="H334" s="402">
        <v>6</v>
      </c>
      <c r="I334" s="402">
        <v>2</v>
      </c>
      <c r="J334" s="402" t="s">
        <v>1137</v>
      </c>
      <c r="K334" s="402">
        <v>35</v>
      </c>
      <c r="L334" s="402" t="s">
        <v>1145</v>
      </c>
      <c r="M334" s="403" t="s">
        <v>419</v>
      </c>
      <c r="N334" s="402" t="s">
        <v>1139</v>
      </c>
      <c r="O334" s="421"/>
      <c r="P334" s="405"/>
      <c r="Q334" s="405"/>
      <c r="R334" s="407"/>
      <c r="S334" s="405"/>
      <c r="T334" s="405"/>
      <c r="U334" s="407"/>
      <c r="V334" s="405"/>
      <c r="W334" s="405"/>
      <c r="X334" s="406"/>
      <c r="Y334" s="379"/>
      <c r="Z334" s="379"/>
    </row>
    <row r="335" spans="1:26">
      <c r="A335" s="400" t="s">
        <v>1842</v>
      </c>
      <c r="B335" s="401" t="s">
        <v>1414</v>
      </c>
      <c r="C335" s="402" t="s">
        <v>1847</v>
      </c>
      <c r="D335" s="425">
        <v>82</v>
      </c>
      <c r="E335" s="426">
        <v>70</v>
      </c>
      <c r="F335" s="426">
        <v>60</v>
      </c>
      <c r="G335" s="402">
        <v>30</v>
      </c>
      <c r="H335" s="426">
        <v>15</v>
      </c>
      <c r="I335" s="426">
        <v>2</v>
      </c>
      <c r="J335" s="426" t="s">
        <v>1123</v>
      </c>
      <c r="K335" s="426">
        <v>45</v>
      </c>
      <c r="L335" s="402" t="s">
        <v>1124</v>
      </c>
      <c r="M335" s="425" t="s">
        <v>419</v>
      </c>
      <c r="N335" s="426" t="s">
        <v>1139</v>
      </c>
      <c r="O335" s="401"/>
      <c r="P335" s="405"/>
      <c r="Q335" s="405"/>
      <c r="R335" s="407"/>
      <c r="S335" s="405"/>
      <c r="T335" s="405"/>
      <c r="U335" s="407"/>
      <c r="V335" s="408"/>
      <c r="W335" s="405"/>
      <c r="X335" s="406"/>
      <c r="Y335" s="379"/>
      <c r="Z335" s="379"/>
    </row>
    <row r="336" spans="1:26">
      <c r="A336" s="400" t="s">
        <v>1842</v>
      </c>
      <c r="B336" s="401" t="s">
        <v>1779</v>
      </c>
      <c r="C336" s="402" t="s">
        <v>1848</v>
      </c>
      <c r="D336" s="403">
        <v>75</v>
      </c>
      <c r="E336" s="402">
        <v>70</v>
      </c>
      <c r="F336" s="402">
        <v>60</v>
      </c>
      <c r="G336" s="402">
        <v>30</v>
      </c>
      <c r="H336" s="402">
        <v>6</v>
      </c>
      <c r="I336" s="402">
        <v>2</v>
      </c>
      <c r="J336" s="402" t="s">
        <v>1137</v>
      </c>
      <c r="K336" s="402">
        <v>40</v>
      </c>
      <c r="L336" s="402" t="s">
        <v>1138</v>
      </c>
      <c r="M336" s="403" t="s">
        <v>419</v>
      </c>
      <c r="N336" s="402" t="s">
        <v>1139</v>
      </c>
      <c r="O336" s="401"/>
      <c r="P336" s="405"/>
      <c r="Q336" s="405"/>
      <c r="R336" s="407"/>
      <c r="S336" s="405"/>
      <c r="T336" s="405"/>
      <c r="U336" s="407"/>
      <c r="V336" s="408"/>
      <c r="W336" s="405"/>
      <c r="X336" s="406"/>
      <c r="Y336" s="379"/>
      <c r="Z336" s="379"/>
    </row>
    <row r="337" spans="1:26" ht="295.8">
      <c r="A337" s="400" t="s">
        <v>1842</v>
      </c>
      <c r="B337" s="401" t="s">
        <v>1849</v>
      </c>
      <c r="C337" s="402" t="s">
        <v>1850</v>
      </c>
      <c r="D337" s="403">
        <v>75</v>
      </c>
      <c r="E337" s="402">
        <v>70</v>
      </c>
      <c r="F337" s="402">
        <v>60</v>
      </c>
      <c r="G337" s="402">
        <v>30</v>
      </c>
      <c r="H337" s="402">
        <v>12</v>
      </c>
      <c r="I337" s="402">
        <v>2</v>
      </c>
      <c r="J337" s="402" t="s">
        <v>1110</v>
      </c>
      <c r="K337" s="402">
        <v>35</v>
      </c>
      <c r="L337" s="402" t="s">
        <v>1339</v>
      </c>
      <c r="M337" s="403" t="s">
        <v>419</v>
      </c>
      <c r="N337" s="402" t="s">
        <v>1112</v>
      </c>
      <c r="O337" s="401"/>
      <c r="P337" s="405" t="s">
        <v>1851</v>
      </c>
      <c r="Q337" s="405" t="s">
        <v>1730</v>
      </c>
      <c r="R337" s="407"/>
      <c r="S337" s="405"/>
      <c r="T337" s="405"/>
      <c r="U337" s="407"/>
      <c r="V337" s="405"/>
      <c r="W337" s="405"/>
      <c r="X337" s="406"/>
      <c r="Y337" s="379"/>
      <c r="Z337" s="379"/>
    </row>
    <row r="338" spans="1:26" ht="295.8">
      <c r="A338" s="400" t="s">
        <v>1842</v>
      </c>
      <c r="B338" s="401" t="s">
        <v>1852</v>
      </c>
      <c r="C338" s="402" t="s">
        <v>1853</v>
      </c>
      <c r="D338" s="403">
        <v>75</v>
      </c>
      <c r="E338" s="402">
        <v>70</v>
      </c>
      <c r="F338" s="402">
        <v>60</v>
      </c>
      <c r="G338" s="402">
        <v>30</v>
      </c>
      <c r="H338" s="402">
        <v>12</v>
      </c>
      <c r="I338" s="402">
        <v>2</v>
      </c>
      <c r="J338" s="402" t="s">
        <v>1137</v>
      </c>
      <c r="K338" s="402">
        <v>35</v>
      </c>
      <c r="L338" s="402" t="s">
        <v>1741</v>
      </c>
      <c r="M338" s="403" t="s">
        <v>419</v>
      </c>
      <c r="N338" s="402" t="s">
        <v>1112</v>
      </c>
      <c r="O338" s="401"/>
      <c r="P338" s="405" t="s">
        <v>1851</v>
      </c>
      <c r="Q338" s="405" t="s">
        <v>1730</v>
      </c>
      <c r="R338" s="407"/>
      <c r="S338" s="405"/>
      <c r="T338" s="405"/>
      <c r="U338" s="407"/>
      <c r="V338" s="405"/>
      <c r="W338" s="405"/>
      <c r="X338" s="406"/>
      <c r="Y338" s="379"/>
      <c r="Z338" s="379"/>
    </row>
    <row r="339" spans="1:26">
      <c r="A339" s="400" t="s">
        <v>1842</v>
      </c>
      <c r="B339" s="401" t="s">
        <v>1418</v>
      </c>
      <c r="C339" s="402" t="s">
        <v>1580</v>
      </c>
      <c r="D339" s="403">
        <v>75</v>
      </c>
      <c r="E339" s="402">
        <v>70</v>
      </c>
      <c r="F339" s="402">
        <v>60</v>
      </c>
      <c r="G339" s="402">
        <v>30</v>
      </c>
      <c r="H339" s="402">
        <v>4</v>
      </c>
      <c r="I339" s="402">
        <v>2</v>
      </c>
      <c r="J339" s="402" t="s">
        <v>1137</v>
      </c>
      <c r="K339" s="402">
        <v>40</v>
      </c>
      <c r="L339" s="402" t="s">
        <v>1145</v>
      </c>
      <c r="M339" s="403" t="s">
        <v>420</v>
      </c>
      <c r="N339" s="402" t="s">
        <v>1112</v>
      </c>
      <c r="O339" s="401"/>
      <c r="P339" s="405"/>
      <c r="Q339" s="405"/>
      <c r="R339" s="407"/>
      <c r="S339" s="405"/>
      <c r="T339" s="405"/>
      <c r="U339" s="407"/>
      <c r="V339" s="408"/>
      <c r="W339" s="405"/>
      <c r="X339" s="406"/>
      <c r="Y339" s="379"/>
      <c r="Z339" s="379"/>
    </row>
    <row r="340" spans="1:26">
      <c r="A340" s="400" t="s">
        <v>1842</v>
      </c>
      <c r="B340" s="401" t="s">
        <v>1854</v>
      </c>
      <c r="C340" s="402" t="s">
        <v>1855</v>
      </c>
      <c r="D340" s="403">
        <v>75</v>
      </c>
      <c r="E340" s="402">
        <v>70</v>
      </c>
      <c r="F340" s="402">
        <v>60</v>
      </c>
      <c r="G340" s="402">
        <v>30</v>
      </c>
      <c r="H340" s="402">
        <v>6</v>
      </c>
      <c r="I340" s="402">
        <v>2</v>
      </c>
      <c r="J340" s="402" t="s">
        <v>1137</v>
      </c>
      <c r="K340" s="402">
        <v>40</v>
      </c>
      <c r="L340" s="402" t="s">
        <v>1124</v>
      </c>
      <c r="M340" s="403" t="s">
        <v>420</v>
      </c>
      <c r="N340" s="402" t="s">
        <v>1112</v>
      </c>
      <c r="O340" s="401"/>
      <c r="P340" s="405"/>
      <c r="Q340" s="405"/>
      <c r="R340" s="407"/>
      <c r="S340" s="405"/>
      <c r="T340" s="405"/>
      <c r="U340" s="407"/>
      <c r="V340" s="408"/>
      <c r="W340" s="405"/>
      <c r="X340" s="406"/>
      <c r="Y340" s="379"/>
      <c r="Z340" s="379"/>
    </row>
    <row r="341" spans="1:26" ht="285.60000000000002">
      <c r="A341" s="400" t="s">
        <v>1856</v>
      </c>
      <c r="B341" s="401"/>
      <c r="C341" s="402"/>
      <c r="D341" s="403"/>
      <c r="E341" s="402"/>
      <c r="F341" s="402"/>
      <c r="G341" s="402"/>
      <c r="H341" s="402"/>
      <c r="I341" s="402"/>
      <c r="J341" s="402"/>
      <c r="K341" s="402"/>
      <c r="L341" s="402"/>
      <c r="M341" s="403"/>
      <c r="N341" s="402"/>
      <c r="O341" s="401"/>
      <c r="P341" s="405" t="s">
        <v>1857</v>
      </c>
      <c r="Q341" s="405" t="s">
        <v>1858</v>
      </c>
      <c r="R341" s="407" t="s">
        <v>1859</v>
      </c>
      <c r="S341" s="405"/>
      <c r="T341" s="405"/>
      <c r="U341" s="407"/>
      <c r="V341" s="408"/>
      <c r="W341" s="405"/>
      <c r="X341" s="406"/>
      <c r="Y341" s="379"/>
      <c r="Z341" s="379"/>
    </row>
    <row r="342" spans="1:26" ht="142.80000000000001">
      <c r="A342" s="400" t="s">
        <v>1856</v>
      </c>
      <c r="B342" s="401" t="s">
        <v>1414</v>
      </c>
      <c r="C342" s="402" t="s">
        <v>1860</v>
      </c>
      <c r="D342" s="403">
        <v>80.599999999999994</v>
      </c>
      <c r="E342" s="402" t="s">
        <v>404</v>
      </c>
      <c r="F342" s="402">
        <v>60</v>
      </c>
      <c r="G342" s="402">
        <v>30</v>
      </c>
      <c r="H342" s="402" t="s">
        <v>1861</v>
      </c>
      <c r="I342" s="402" t="s">
        <v>1861</v>
      </c>
      <c r="J342" s="402" t="s">
        <v>1137</v>
      </c>
      <c r="K342" s="402" t="s">
        <v>2684</v>
      </c>
      <c r="L342" s="402" t="s">
        <v>1145</v>
      </c>
      <c r="M342" s="403" t="s">
        <v>419</v>
      </c>
      <c r="N342" s="402" t="s">
        <v>1862</v>
      </c>
      <c r="O342" s="401"/>
      <c r="P342" s="405" t="s">
        <v>1863</v>
      </c>
      <c r="Q342" s="405" t="s">
        <v>1864</v>
      </c>
      <c r="R342" s="407" t="s">
        <v>1865</v>
      </c>
      <c r="S342" s="405" t="s">
        <v>1866</v>
      </c>
      <c r="T342" s="405" t="s">
        <v>1867</v>
      </c>
      <c r="U342" s="407" t="s">
        <v>1868</v>
      </c>
      <c r="V342" s="408" t="s">
        <v>1869</v>
      </c>
      <c r="W342" s="405" t="s">
        <v>1870</v>
      </c>
      <c r="X342" s="406" t="s">
        <v>1871</v>
      </c>
      <c r="Y342" s="379"/>
      <c r="Z342" s="379"/>
    </row>
    <row r="343" spans="1:26" ht="295.8">
      <c r="A343" s="400" t="s">
        <v>1872</v>
      </c>
      <c r="B343" s="401"/>
      <c r="C343" s="402"/>
      <c r="D343" s="403"/>
      <c r="E343" s="402"/>
      <c r="F343" s="402"/>
      <c r="G343" s="402"/>
      <c r="H343" s="402"/>
      <c r="I343" s="402"/>
      <c r="J343" s="402"/>
      <c r="K343" s="402"/>
      <c r="L343" s="402"/>
      <c r="M343" s="403"/>
      <c r="N343" s="402"/>
      <c r="O343" s="401"/>
      <c r="P343" s="405" t="s">
        <v>1873</v>
      </c>
      <c r="Q343" s="405" t="s">
        <v>1874</v>
      </c>
      <c r="R343" s="407" t="s">
        <v>1875</v>
      </c>
      <c r="S343" s="405"/>
      <c r="T343" s="405"/>
      <c r="U343" s="407"/>
      <c r="V343" s="408"/>
      <c r="W343" s="405"/>
      <c r="X343" s="406"/>
      <c r="Y343" s="379"/>
      <c r="Z343" s="379"/>
    </row>
    <row r="344" spans="1:26" ht="153">
      <c r="A344" s="400" t="s">
        <v>1872</v>
      </c>
      <c r="B344" s="401" t="s">
        <v>1876</v>
      </c>
      <c r="C344" s="402" t="s">
        <v>1877</v>
      </c>
      <c r="D344" s="403">
        <v>80.599999999999994</v>
      </c>
      <c r="E344" s="402">
        <v>64</v>
      </c>
      <c r="F344" s="402">
        <v>60</v>
      </c>
      <c r="G344" s="402">
        <v>30</v>
      </c>
      <c r="H344" s="402" t="s">
        <v>1861</v>
      </c>
      <c r="I344" s="402" t="s">
        <v>1861</v>
      </c>
      <c r="J344" s="402" t="s">
        <v>1137</v>
      </c>
      <c r="K344" s="402" t="s">
        <v>2684</v>
      </c>
      <c r="L344" s="402" t="s">
        <v>1145</v>
      </c>
      <c r="M344" s="403" t="s">
        <v>419</v>
      </c>
      <c r="N344" s="402" t="s">
        <v>1139</v>
      </c>
      <c r="O344" s="401"/>
      <c r="P344" s="405" t="s">
        <v>1878</v>
      </c>
      <c r="Q344" s="405" t="s">
        <v>1879</v>
      </c>
      <c r="R344" s="407"/>
      <c r="S344" s="405"/>
      <c r="T344" s="405"/>
      <c r="U344" s="407"/>
      <c r="V344" s="408"/>
      <c r="W344" s="405"/>
      <c r="X344" s="406"/>
      <c r="Y344" s="379"/>
      <c r="Z344" s="379"/>
    </row>
    <row r="345" spans="1:26" ht="193.8">
      <c r="A345" s="400" t="s">
        <v>1872</v>
      </c>
      <c r="B345" s="401" t="s">
        <v>1880</v>
      </c>
      <c r="C345" s="402" t="s">
        <v>1881</v>
      </c>
      <c r="D345" s="403">
        <v>80.599999999999994</v>
      </c>
      <c r="E345" s="402">
        <v>64</v>
      </c>
      <c r="F345" s="402">
        <v>60</v>
      </c>
      <c r="G345" s="402">
        <v>30</v>
      </c>
      <c r="H345" s="402" t="s">
        <v>1861</v>
      </c>
      <c r="I345" s="402" t="s">
        <v>1861</v>
      </c>
      <c r="J345" s="402" t="s">
        <v>1137</v>
      </c>
      <c r="K345" s="402">
        <v>45</v>
      </c>
      <c r="L345" s="402" t="s">
        <v>1145</v>
      </c>
      <c r="M345" s="403" t="s">
        <v>419</v>
      </c>
      <c r="N345" s="402" t="s">
        <v>1139</v>
      </c>
      <c r="O345" s="401"/>
      <c r="P345" s="405" t="s">
        <v>1882</v>
      </c>
      <c r="Q345" s="405" t="s">
        <v>1883</v>
      </c>
      <c r="R345" s="407"/>
      <c r="S345" s="405"/>
      <c r="T345" s="405"/>
      <c r="U345" s="407"/>
      <c r="V345" s="408"/>
      <c r="W345" s="405"/>
      <c r="X345" s="406"/>
      <c r="Y345" s="379"/>
      <c r="Z345" s="379"/>
    </row>
    <row r="346" spans="1:26" ht="244.8">
      <c r="A346" s="400" t="s">
        <v>1872</v>
      </c>
      <c r="B346" s="401" t="s">
        <v>1884</v>
      </c>
      <c r="C346" s="402" t="s">
        <v>1885</v>
      </c>
      <c r="D346" s="403">
        <v>80.599999999999994</v>
      </c>
      <c r="E346" s="402">
        <v>64</v>
      </c>
      <c r="F346" s="402">
        <v>60</v>
      </c>
      <c r="G346" s="402">
        <v>30</v>
      </c>
      <c r="H346" s="402" t="s">
        <v>1861</v>
      </c>
      <c r="I346" s="402" t="s">
        <v>1861</v>
      </c>
      <c r="J346" s="402" t="s">
        <v>1137</v>
      </c>
      <c r="K346" s="402">
        <v>45</v>
      </c>
      <c r="L346" s="402" t="s">
        <v>1145</v>
      </c>
      <c r="M346" s="403" t="s">
        <v>419</v>
      </c>
      <c r="N346" s="402" t="s">
        <v>1139</v>
      </c>
      <c r="O346" s="401"/>
      <c r="P346" s="405" t="s">
        <v>1886</v>
      </c>
      <c r="Q346" s="405" t="s">
        <v>1887</v>
      </c>
      <c r="R346" s="407"/>
      <c r="S346" s="405"/>
      <c r="T346" s="405"/>
      <c r="U346" s="407"/>
      <c r="V346" s="408"/>
      <c r="W346" s="405"/>
      <c r="X346" s="406"/>
      <c r="Y346" s="379"/>
      <c r="Z346" s="379"/>
    </row>
    <row r="347" spans="1:26" ht="20.399999999999999">
      <c r="A347" s="400" t="s">
        <v>1888</v>
      </c>
      <c r="B347" s="401" t="s">
        <v>1889</v>
      </c>
      <c r="C347" s="402" t="s">
        <v>1890</v>
      </c>
      <c r="D347" s="403">
        <v>75</v>
      </c>
      <c r="E347" s="402">
        <v>70</v>
      </c>
      <c r="F347" s="402">
        <v>60</v>
      </c>
      <c r="G347" s="402">
        <v>30</v>
      </c>
      <c r="H347" s="402">
        <v>6</v>
      </c>
      <c r="I347" s="402">
        <v>2</v>
      </c>
      <c r="J347" s="402" t="s">
        <v>1137</v>
      </c>
      <c r="K347" s="402">
        <v>35</v>
      </c>
      <c r="L347" s="402" t="s">
        <v>1138</v>
      </c>
      <c r="M347" s="403" t="s">
        <v>419</v>
      </c>
      <c r="N347" s="402" t="s">
        <v>1139</v>
      </c>
      <c r="O347" s="401"/>
      <c r="P347" s="405"/>
      <c r="Q347" s="405"/>
      <c r="R347" s="407"/>
      <c r="S347" s="405"/>
      <c r="T347" s="405"/>
      <c r="U347" s="407"/>
      <c r="V347" s="408"/>
      <c r="W347" s="405"/>
      <c r="X347" s="406"/>
      <c r="Y347" s="379"/>
      <c r="Z347" s="379"/>
    </row>
    <row r="348" spans="1:26" ht="51">
      <c r="A348" s="400" t="s">
        <v>1888</v>
      </c>
      <c r="B348" s="401" t="s">
        <v>1891</v>
      </c>
      <c r="C348" s="402" t="s">
        <v>1892</v>
      </c>
      <c r="D348" s="403">
        <v>75</v>
      </c>
      <c r="E348" s="402">
        <v>70</v>
      </c>
      <c r="F348" s="402">
        <v>60</v>
      </c>
      <c r="G348" s="402">
        <v>30</v>
      </c>
      <c r="H348" s="402">
        <v>6</v>
      </c>
      <c r="I348" s="402">
        <v>2</v>
      </c>
      <c r="J348" s="402" t="s">
        <v>1137</v>
      </c>
      <c r="K348" s="402">
        <v>25</v>
      </c>
      <c r="L348" s="402" t="s">
        <v>1138</v>
      </c>
      <c r="M348" s="403" t="s">
        <v>419</v>
      </c>
      <c r="N348" s="402" t="s">
        <v>1139</v>
      </c>
      <c r="O348" s="401"/>
      <c r="P348" s="405" t="s">
        <v>1893</v>
      </c>
      <c r="Q348" s="405" t="s">
        <v>1894</v>
      </c>
      <c r="R348" s="407"/>
      <c r="S348" s="405"/>
      <c r="T348" s="405"/>
      <c r="U348" s="407"/>
      <c r="V348" s="408"/>
      <c r="W348" s="405"/>
      <c r="X348" s="406"/>
      <c r="Y348" s="379"/>
      <c r="Z348" s="379"/>
    </row>
    <row r="349" spans="1:26" ht="20.399999999999999">
      <c r="A349" s="400" t="s">
        <v>1888</v>
      </c>
      <c r="B349" s="401" t="s">
        <v>1895</v>
      </c>
      <c r="C349" s="402" t="s">
        <v>1896</v>
      </c>
      <c r="D349" s="403">
        <v>75</v>
      </c>
      <c r="E349" s="402">
        <v>70</v>
      </c>
      <c r="F349" s="402">
        <v>60</v>
      </c>
      <c r="G349" s="402">
        <v>30</v>
      </c>
      <c r="H349" s="402">
        <v>6</v>
      </c>
      <c r="I349" s="402">
        <v>2</v>
      </c>
      <c r="J349" s="402" t="s">
        <v>1137</v>
      </c>
      <c r="K349" s="402">
        <v>35</v>
      </c>
      <c r="L349" s="402" t="s">
        <v>1138</v>
      </c>
      <c r="M349" s="403" t="s">
        <v>419</v>
      </c>
      <c r="N349" s="402" t="s">
        <v>1139</v>
      </c>
      <c r="O349" s="401"/>
      <c r="P349" s="405"/>
      <c r="Q349" s="405"/>
      <c r="R349" s="407"/>
      <c r="S349" s="405"/>
      <c r="T349" s="405"/>
      <c r="U349" s="407"/>
      <c r="V349" s="408"/>
      <c r="W349" s="405"/>
      <c r="X349" s="406"/>
      <c r="Y349" s="379"/>
      <c r="Z349" s="379"/>
    </row>
    <row r="350" spans="1:26" ht="132.6">
      <c r="A350" s="400" t="s">
        <v>1897</v>
      </c>
      <c r="B350" s="401" t="s">
        <v>1414</v>
      </c>
      <c r="C350" s="402" t="s">
        <v>1898</v>
      </c>
      <c r="D350" s="403">
        <v>75</v>
      </c>
      <c r="E350" s="402">
        <v>70</v>
      </c>
      <c r="F350" s="402">
        <v>60</v>
      </c>
      <c r="G350" s="402">
        <v>30</v>
      </c>
      <c r="H350" s="402">
        <v>6</v>
      </c>
      <c r="I350" s="402">
        <v>2</v>
      </c>
      <c r="J350" s="402" t="s">
        <v>1137</v>
      </c>
      <c r="K350" s="402">
        <v>35</v>
      </c>
      <c r="L350" s="402" t="s">
        <v>1899</v>
      </c>
      <c r="M350" s="403" t="s">
        <v>419</v>
      </c>
      <c r="N350" s="402" t="s">
        <v>1112</v>
      </c>
      <c r="O350" s="401"/>
      <c r="P350" s="446" t="s">
        <v>1900</v>
      </c>
      <c r="Q350" s="446" t="s">
        <v>1730</v>
      </c>
      <c r="R350" s="405" t="s">
        <v>1901</v>
      </c>
      <c r="S350" s="405"/>
      <c r="T350" s="405"/>
      <c r="U350" s="407"/>
      <c r="V350" s="408"/>
      <c r="W350" s="405"/>
      <c r="X350" s="406"/>
      <c r="Y350" s="379"/>
      <c r="Z350" s="379"/>
    </row>
    <row r="351" spans="1:26" ht="132.6">
      <c r="A351" s="400" t="s">
        <v>1897</v>
      </c>
      <c r="B351" s="401" t="s">
        <v>1414</v>
      </c>
      <c r="C351" s="402" t="s">
        <v>1902</v>
      </c>
      <c r="D351" s="403">
        <v>75</v>
      </c>
      <c r="E351" s="402">
        <v>70</v>
      </c>
      <c r="F351" s="402">
        <v>60</v>
      </c>
      <c r="G351" s="402">
        <v>30</v>
      </c>
      <c r="H351" s="402">
        <v>6</v>
      </c>
      <c r="I351" s="402">
        <v>2</v>
      </c>
      <c r="J351" s="402" t="s">
        <v>1137</v>
      </c>
      <c r="K351" s="402">
        <v>35</v>
      </c>
      <c r="L351" s="402" t="s">
        <v>1899</v>
      </c>
      <c r="M351" s="403" t="s">
        <v>419</v>
      </c>
      <c r="N351" s="402" t="s">
        <v>1112</v>
      </c>
      <c r="O351" s="401"/>
      <c r="P351" s="446" t="s">
        <v>1900</v>
      </c>
      <c r="Q351" s="446" t="s">
        <v>1730</v>
      </c>
      <c r="R351" s="405" t="s">
        <v>1901</v>
      </c>
      <c r="S351" s="405"/>
      <c r="T351" s="405"/>
      <c r="U351" s="407"/>
      <c r="V351" s="408"/>
      <c r="W351" s="405"/>
      <c r="X351" s="406"/>
      <c r="Y351" s="379"/>
      <c r="Z351" s="379"/>
    </row>
    <row r="352" spans="1:26" ht="132.6">
      <c r="A352" s="400" t="s">
        <v>1897</v>
      </c>
      <c r="B352" s="401" t="s">
        <v>1414</v>
      </c>
      <c r="C352" s="402" t="s">
        <v>1903</v>
      </c>
      <c r="D352" s="403">
        <v>75</v>
      </c>
      <c r="E352" s="402">
        <v>70</v>
      </c>
      <c r="F352" s="402">
        <v>60</v>
      </c>
      <c r="G352" s="402">
        <v>30</v>
      </c>
      <c r="H352" s="402">
        <v>6</v>
      </c>
      <c r="I352" s="402">
        <v>2</v>
      </c>
      <c r="J352" s="402" t="s">
        <v>1137</v>
      </c>
      <c r="K352" s="402">
        <v>35</v>
      </c>
      <c r="L352" s="402" t="s">
        <v>1899</v>
      </c>
      <c r="M352" s="403" t="s">
        <v>419</v>
      </c>
      <c r="N352" s="402" t="s">
        <v>1112</v>
      </c>
      <c r="O352" s="401"/>
      <c r="P352" s="446" t="s">
        <v>1900</v>
      </c>
      <c r="Q352" s="446" t="s">
        <v>1730</v>
      </c>
      <c r="R352" s="405" t="s">
        <v>1901</v>
      </c>
      <c r="S352" s="405"/>
      <c r="T352" s="405"/>
      <c r="U352" s="407"/>
      <c r="V352" s="408"/>
      <c r="W352" s="405"/>
      <c r="X352" s="406"/>
      <c r="Y352" s="379"/>
      <c r="Z352" s="379"/>
    </row>
    <row r="353" spans="1:26" ht="132.6">
      <c r="A353" s="400" t="s">
        <v>1897</v>
      </c>
      <c r="B353" s="401" t="s">
        <v>1414</v>
      </c>
      <c r="C353" s="402" t="s">
        <v>1904</v>
      </c>
      <c r="D353" s="403">
        <v>75</v>
      </c>
      <c r="E353" s="402">
        <v>70</v>
      </c>
      <c r="F353" s="402">
        <v>60</v>
      </c>
      <c r="G353" s="402">
        <v>30</v>
      </c>
      <c r="H353" s="402">
        <v>6</v>
      </c>
      <c r="I353" s="402">
        <v>2</v>
      </c>
      <c r="J353" s="402" t="s">
        <v>1137</v>
      </c>
      <c r="K353" s="402">
        <v>35</v>
      </c>
      <c r="L353" s="402" t="s">
        <v>1899</v>
      </c>
      <c r="M353" s="403" t="s">
        <v>419</v>
      </c>
      <c r="N353" s="402" t="s">
        <v>1112</v>
      </c>
      <c r="O353" s="401"/>
      <c r="P353" s="446" t="s">
        <v>1900</v>
      </c>
      <c r="Q353" s="446" t="s">
        <v>1730</v>
      </c>
      <c r="R353" s="405" t="s">
        <v>1901</v>
      </c>
      <c r="S353" s="405"/>
      <c r="T353" s="405"/>
      <c r="U353" s="407"/>
      <c r="V353" s="408"/>
      <c r="W353" s="405"/>
      <c r="X353" s="406"/>
      <c r="Y353" s="379"/>
      <c r="Z353" s="379"/>
    </row>
    <row r="354" spans="1:26" ht="132.6">
      <c r="A354" s="400" t="s">
        <v>1897</v>
      </c>
      <c r="B354" s="401" t="s">
        <v>1414</v>
      </c>
      <c r="C354" s="402" t="s">
        <v>1905</v>
      </c>
      <c r="D354" s="402" t="s">
        <v>404</v>
      </c>
      <c r="E354" s="402" t="s">
        <v>404</v>
      </c>
      <c r="F354" s="402" t="s">
        <v>404</v>
      </c>
      <c r="G354" s="402" t="s">
        <v>404</v>
      </c>
      <c r="H354" s="402">
        <v>10</v>
      </c>
      <c r="I354" s="402" t="s">
        <v>404</v>
      </c>
      <c r="J354" s="402" t="s">
        <v>1137</v>
      </c>
      <c r="K354" s="402">
        <v>35</v>
      </c>
      <c r="L354" s="402" t="s">
        <v>1906</v>
      </c>
      <c r="M354" s="402" t="s">
        <v>420</v>
      </c>
      <c r="N354" s="402" t="s">
        <v>1112</v>
      </c>
      <c r="O354" s="449"/>
      <c r="P354" s="446" t="s">
        <v>1900</v>
      </c>
      <c r="Q354" s="446" t="s">
        <v>1730</v>
      </c>
      <c r="R354" s="405" t="s">
        <v>1901</v>
      </c>
      <c r="S354" s="405"/>
      <c r="T354" s="405"/>
      <c r="U354" s="407"/>
      <c r="V354" s="408"/>
      <c r="W354" s="405"/>
      <c r="X354" s="406"/>
      <c r="Y354" s="379"/>
      <c r="Z354" s="379"/>
    </row>
    <row r="355" spans="1:26" ht="71.400000000000006">
      <c r="A355" s="400" t="s">
        <v>1897</v>
      </c>
      <c r="B355" s="401" t="s">
        <v>1414</v>
      </c>
      <c r="C355" s="402" t="s">
        <v>1907</v>
      </c>
      <c r="D355" s="425">
        <v>75</v>
      </c>
      <c r="E355" s="426">
        <v>70</v>
      </c>
      <c r="F355" s="426">
        <v>60</v>
      </c>
      <c r="G355" s="402">
        <v>30</v>
      </c>
      <c r="H355" s="426">
        <v>6</v>
      </c>
      <c r="I355" s="426">
        <v>2</v>
      </c>
      <c r="J355" s="426" t="s">
        <v>1137</v>
      </c>
      <c r="K355" s="426">
        <v>35</v>
      </c>
      <c r="L355" s="426" t="s">
        <v>1138</v>
      </c>
      <c r="M355" s="425" t="s">
        <v>419</v>
      </c>
      <c r="N355" s="426" t="s">
        <v>1139</v>
      </c>
      <c r="O355" s="401"/>
      <c r="P355" s="405" t="s">
        <v>1908</v>
      </c>
      <c r="Q355" s="405" t="s">
        <v>1909</v>
      </c>
      <c r="R355" s="407"/>
      <c r="S355" s="405"/>
      <c r="T355" s="405"/>
      <c r="U355" s="407"/>
      <c r="V355" s="408"/>
      <c r="W355" s="405"/>
      <c r="X355" s="406"/>
      <c r="Y355" s="379"/>
      <c r="Z355" s="379"/>
    </row>
    <row r="356" spans="1:26" ht="51">
      <c r="A356" s="400" t="s">
        <v>1910</v>
      </c>
      <c r="B356" s="401" t="s">
        <v>1414</v>
      </c>
      <c r="C356" s="402" t="s">
        <v>1911</v>
      </c>
      <c r="D356" s="403">
        <v>75</v>
      </c>
      <c r="E356" s="402">
        <v>70</v>
      </c>
      <c r="F356" s="402">
        <v>60</v>
      </c>
      <c r="G356" s="402">
        <v>30</v>
      </c>
      <c r="H356" s="402">
        <v>12</v>
      </c>
      <c r="I356" s="402">
        <v>2</v>
      </c>
      <c r="J356" s="402" t="s">
        <v>1123</v>
      </c>
      <c r="K356" s="402">
        <v>45</v>
      </c>
      <c r="L356" s="402" t="s">
        <v>1124</v>
      </c>
      <c r="M356" s="403" t="s">
        <v>419</v>
      </c>
      <c r="N356" s="402" t="s">
        <v>1112</v>
      </c>
      <c r="O356" s="401"/>
      <c r="P356" s="405" t="s">
        <v>1912</v>
      </c>
      <c r="Q356" s="405" t="s">
        <v>1913</v>
      </c>
      <c r="R356" s="407"/>
      <c r="S356" s="405"/>
      <c r="T356" s="405"/>
      <c r="U356" s="407"/>
      <c r="V356" s="408"/>
      <c r="W356" s="405"/>
      <c r="X356" s="406"/>
      <c r="Y356" s="379"/>
      <c r="Z356" s="379"/>
    </row>
    <row r="357" spans="1:26" ht="51">
      <c r="A357" s="400" t="s">
        <v>1910</v>
      </c>
      <c r="B357" s="401" t="s">
        <v>1414</v>
      </c>
      <c r="C357" s="402" t="s">
        <v>1914</v>
      </c>
      <c r="D357" s="403">
        <v>75</v>
      </c>
      <c r="E357" s="402">
        <v>70</v>
      </c>
      <c r="F357" s="402">
        <v>60</v>
      </c>
      <c r="G357" s="402">
        <v>30</v>
      </c>
      <c r="H357" s="402">
        <v>6</v>
      </c>
      <c r="I357" s="402">
        <v>2</v>
      </c>
      <c r="J357" s="402" t="s">
        <v>1137</v>
      </c>
      <c r="K357" s="402">
        <v>40</v>
      </c>
      <c r="L357" s="402" t="s">
        <v>1138</v>
      </c>
      <c r="M357" s="403" t="s">
        <v>419</v>
      </c>
      <c r="N357" s="402" t="s">
        <v>1139</v>
      </c>
      <c r="O357" s="401"/>
      <c r="P357" s="405" t="s">
        <v>1915</v>
      </c>
      <c r="Q357" s="405"/>
      <c r="R357" s="407"/>
      <c r="S357" s="405"/>
      <c r="T357" s="405"/>
      <c r="U357" s="407"/>
      <c r="V357" s="408"/>
      <c r="W357" s="405"/>
      <c r="X357" s="406"/>
      <c r="Y357" s="379"/>
      <c r="Z357" s="379"/>
    </row>
    <row r="358" spans="1:26" ht="20.399999999999999">
      <c r="A358" s="400" t="s">
        <v>1910</v>
      </c>
      <c r="B358" s="401" t="s">
        <v>1414</v>
      </c>
      <c r="C358" s="402" t="s">
        <v>1839</v>
      </c>
      <c r="D358" s="403">
        <v>75</v>
      </c>
      <c r="E358" s="402">
        <v>70</v>
      </c>
      <c r="F358" s="402">
        <v>60</v>
      </c>
      <c r="G358" s="402">
        <v>30</v>
      </c>
      <c r="H358" s="402">
        <v>6</v>
      </c>
      <c r="I358" s="402">
        <v>2</v>
      </c>
      <c r="J358" s="402" t="s">
        <v>1137</v>
      </c>
      <c r="K358" s="402">
        <v>35</v>
      </c>
      <c r="L358" s="402" t="s">
        <v>1138</v>
      </c>
      <c r="M358" s="403" t="s">
        <v>419</v>
      </c>
      <c r="N358" s="402" t="s">
        <v>1139</v>
      </c>
      <c r="O358" s="401"/>
      <c r="P358" s="405"/>
      <c r="Q358" s="405"/>
      <c r="R358" s="407"/>
      <c r="S358" s="405"/>
      <c r="T358" s="405"/>
      <c r="U358" s="407"/>
      <c r="V358" s="408"/>
      <c r="W358" s="405"/>
      <c r="X358" s="406"/>
      <c r="Y358" s="379"/>
      <c r="Z358" s="379"/>
    </row>
    <row r="359" spans="1:26" ht="20.399999999999999">
      <c r="A359" s="400" t="s">
        <v>1910</v>
      </c>
      <c r="B359" s="401" t="s">
        <v>1414</v>
      </c>
      <c r="C359" s="402" t="s">
        <v>1916</v>
      </c>
      <c r="D359" s="403">
        <v>75</v>
      </c>
      <c r="E359" s="402">
        <v>70</v>
      </c>
      <c r="F359" s="402">
        <v>60</v>
      </c>
      <c r="G359" s="402">
        <v>30</v>
      </c>
      <c r="H359" s="402">
        <v>6</v>
      </c>
      <c r="I359" s="402">
        <v>2</v>
      </c>
      <c r="J359" s="402" t="s">
        <v>1137</v>
      </c>
      <c r="K359" s="402">
        <v>35</v>
      </c>
      <c r="L359" s="402" t="s">
        <v>1124</v>
      </c>
      <c r="M359" s="403" t="s">
        <v>419</v>
      </c>
      <c r="N359" s="402" t="s">
        <v>1139</v>
      </c>
      <c r="O359" s="401"/>
      <c r="P359" s="405"/>
      <c r="Q359" s="405"/>
      <c r="R359" s="407"/>
      <c r="S359" s="405"/>
      <c r="T359" s="405"/>
      <c r="U359" s="407"/>
      <c r="V359" s="408"/>
      <c r="W359" s="405"/>
      <c r="X359" s="406"/>
      <c r="Y359" s="379"/>
      <c r="Z359" s="379"/>
    </row>
    <row r="360" spans="1:26" ht="20.399999999999999">
      <c r="A360" s="400" t="s">
        <v>1917</v>
      </c>
      <c r="B360" s="401" t="s">
        <v>1414</v>
      </c>
      <c r="C360" s="402" t="s">
        <v>1918</v>
      </c>
      <c r="D360" s="403">
        <v>75</v>
      </c>
      <c r="E360" s="402">
        <v>70</v>
      </c>
      <c r="F360" s="402">
        <v>60</v>
      </c>
      <c r="G360" s="402">
        <v>30</v>
      </c>
      <c r="H360" s="402">
        <v>6</v>
      </c>
      <c r="I360" s="402">
        <v>2</v>
      </c>
      <c r="J360" s="402" t="s">
        <v>1123</v>
      </c>
      <c r="K360" s="402">
        <v>35</v>
      </c>
      <c r="L360" s="402" t="s">
        <v>1124</v>
      </c>
      <c r="M360" s="403" t="s">
        <v>419</v>
      </c>
      <c r="N360" s="402" t="s">
        <v>1112</v>
      </c>
      <c r="O360" s="401"/>
      <c r="P360" s="405"/>
      <c r="Q360" s="405"/>
      <c r="R360" s="407"/>
      <c r="S360" s="405"/>
      <c r="T360" s="405"/>
      <c r="U360" s="407"/>
      <c r="V360" s="408"/>
      <c r="W360" s="405"/>
      <c r="X360" s="406"/>
      <c r="Y360" s="379"/>
      <c r="Z360" s="379"/>
    </row>
    <row r="361" spans="1:26" ht="61.2">
      <c r="A361" s="400" t="s">
        <v>1917</v>
      </c>
      <c r="B361" s="401" t="s">
        <v>1919</v>
      </c>
      <c r="C361" s="402" t="s">
        <v>1920</v>
      </c>
      <c r="D361" s="403">
        <v>75</v>
      </c>
      <c r="E361" s="402">
        <v>70</v>
      </c>
      <c r="F361" s="402">
        <v>60</v>
      </c>
      <c r="G361" s="402">
        <v>30</v>
      </c>
      <c r="H361" s="402">
        <v>6</v>
      </c>
      <c r="I361" s="402">
        <v>2</v>
      </c>
      <c r="J361" s="402" t="s">
        <v>1137</v>
      </c>
      <c r="K361" s="402">
        <v>35</v>
      </c>
      <c r="L361" s="402" t="s">
        <v>1138</v>
      </c>
      <c r="M361" s="403" t="s">
        <v>419</v>
      </c>
      <c r="N361" s="402" t="s">
        <v>1139</v>
      </c>
      <c r="O361" s="401"/>
      <c r="P361" s="405" t="s">
        <v>1921</v>
      </c>
      <c r="Q361" s="405"/>
      <c r="R361" s="407"/>
      <c r="S361" s="405"/>
      <c r="T361" s="405"/>
      <c r="U361" s="407"/>
      <c r="V361" s="408"/>
      <c r="W361" s="405"/>
      <c r="X361" s="406"/>
      <c r="Y361" s="379"/>
      <c r="Z361" s="379"/>
    </row>
    <row r="362" spans="1:26" ht="30.75" customHeight="1">
      <c r="A362" s="400" t="s">
        <v>1888</v>
      </c>
      <c r="B362" s="401" t="s">
        <v>1414</v>
      </c>
      <c r="C362" s="402" t="s">
        <v>1922</v>
      </c>
      <c r="D362" s="403">
        <v>75</v>
      </c>
      <c r="E362" s="402">
        <v>70</v>
      </c>
      <c r="F362" s="402">
        <v>60</v>
      </c>
      <c r="G362" s="402">
        <v>30</v>
      </c>
      <c r="H362" s="402">
        <v>6</v>
      </c>
      <c r="I362" s="402">
        <v>2</v>
      </c>
      <c r="J362" s="402" t="s">
        <v>1123</v>
      </c>
      <c r="K362" s="402">
        <v>35</v>
      </c>
      <c r="L362" s="402" t="s">
        <v>1923</v>
      </c>
      <c r="M362" s="403" t="s">
        <v>419</v>
      </c>
      <c r="N362" s="402" t="s">
        <v>1139</v>
      </c>
      <c r="O362" s="401"/>
      <c r="P362" s="405" t="s">
        <v>1924</v>
      </c>
      <c r="Q362" s="405"/>
      <c r="R362" s="407"/>
      <c r="S362" s="405"/>
      <c r="T362" s="405"/>
      <c r="U362" s="407"/>
      <c r="V362" s="408"/>
      <c r="W362" s="405"/>
      <c r="X362" s="406"/>
      <c r="Y362" s="379"/>
      <c r="Z362" s="379"/>
    </row>
    <row r="363" spans="1:26" ht="40.799999999999997">
      <c r="A363" s="400" t="s">
        <v>1888</v>
      </c>
      <c r="B363" s="401" t="s">
        <v>1414</v>
      </c>
      <c r="C363" s="402" t="s">
        <v>1925</v>
      </c>
      <c r="D363" s="403">
        <v>75</v>
      </c>
      <c r="E363" s="402">
        <v>70</v>
      </c>
      <c r="F363" s="402">
        <v>60</v>
      </c>
      <c r="G363" s="402">
        <v>30</v>
      </c>
      <c r="H363" s="402">
        <v>10</v>
      </c>
      <c r="I363" s="402">
        <v>2</v>
      </c>
      <c r="J363" s="402" t="s">
        <v>1123</v>
      </c>
      <c r="K363" s="402">
        <v>40</v>
      </c>
      <c r="L363" s="402" t="s">
        <v>1124</v>
      </c>
      <c r="M363" s="403" t="s">
        <v>419</v>
      </c>
      <c r="N363" s="402" t="s">
        <v>1112</v>
      </c>
      <c r="O363" s="401"/>
      <c r="P363" s="405" t="s">
        <v>1926</v>
      </c>
      <c r="Q363" s="405"/>
      <c r="R363" s="407"/>
      <c r="S363" s="405"/>
      <c r="T363" s="405"/>
      <c r="U363" s="407"/>
      <c r="V363" s="408"/>
      <c r="W363" s="405"/>
      <c r="X363" s="406"/>
      <c r="Y363" s="379"/>
      <c r="Z363" s="379"/>
    </row>
    <row r="364" spans="1:26" ht="30.6">
      <c r="A364" s="400" t="s">
        <v>1888</v>
      </c>
      <c r="B364" s="401" t="s">
        <v>1927</v>
      </c>
      <c r="C364" s="402" t="s">
        <v>1928</v>
      </c>
      <c r="D364" s="403">
        <v>75</v>
      </c>
      <c r="E364" s="402">
        <v>70</v>
      </c>
      <c r="F364" s="402">
        <v>60</v>
      </c>
      <c r="G364" s="402">
        <v>30</v>
      </c>
      <c r="H364" s="402">
        <v>12</v>
      </c>
      <c r="I364" s="402">
        <v>2</v>
      </c>
      <c r="J364" s="402" t="s">
        <v>1123</v>
      </c>
      <c r="K364" s="402">
        <v>35</v>
      </c>
      <c r="L364" s="402" t="s">
        <v>1124</v>
      </c>
      <c r="M364" s="403" t="s">
        <v>419</v>
      </c>
      <c r="N364" s="402" t="s">
        <v>1112</v>
      </c>
      <c r="O364" s="401"/>
      <c r="P364" s="405" t="s">
        <v>1929</v>
      </c>
      <c r="Q364" s="405"/>
      <c r="R364" s="407"/>
      <c r="S364" s="405"/>
      <c r="T364" s="405"/>
      <c r="U364" s="407"/>
      <c r="V364" s="408"/>
      <c r="W364" s="405"/>
      <c r="X364" s="406"/>
      <c r="Y364" s="379"/>
      <c r="Z364" s="379"/>
    </row>
    <row r="365" spans="1:26" ht="20.399999999999999">
      <c r="A365" s="400" t="s">
        <v>1888</v>
      </c>
      <c r="B365" s="401" t="s">
        <v>1930</v>
      </c>
      <c r="C365" s="402" t="s">
        <v>1931</v>
      </c>
      <c r="D365" s="403">
        <v>75</v>
      </c>
      <c r="E365" s="402">
        <v>70</v>
      </c>
      <c r="F365" s="402">
        <v>60</v>
      </c>
      <c r="G365" s="402">
        <v>30</v>
      </c>
      <c r="H365" s="402">
        <v>4</v>
      </c>
      <c r="I365" s="402">
        <v>2</v>
      </c>
      <c r="J365" s="402" t="s">
        <v>1137</v>
      </c>
      <c r="K365" s="402">
        <v>35</v>
      </c>
      <c r="L365" s="402" t="s">
        <v>1138</v>
      </c>
      <c r="M365" s="403" t="s">
        <v>419</v>
      </c>
      <c r="N365" s="402" t="s">
        <v>1139</v>
      </c>
      <c r="O365" s="401"/>
      <c r="P365" s="405"/>
      <c r="Q365" s="405"/>
      <c r="R365" s="407"/>
      <c r="S365" s="405"/>
      <c r="T365" s="405"/>
      <c r="U365" s="407"/>
      <c r="V365" s="408"/>
      <c r="W365" s="405"/>
      <c r="X365" s="406"/>
      <c r="Y365" s="379"/>
      <c r="Z365" s="379"/>
    </row>
    <row r="366" spans="1:26" ht="20.399999999999999">
      <c r="A366" s="400" t="s">
        <v>1888</v>
      </c>
      <c r="B366" s="401" t="s">
        <v>1414</v>
      </c>
      <c r="C366" s="402" t="s">
        <v>1932</v>
      </c>
      <c r="D366" s="403" t="s">
        <v>404</v>
      </c>
      <c r="E366" s="402" t="s">
        <v>404</v>
      </c>
      <c r="F366" s="402" t="s">
        <v>404</v>
      </c>
      <c r="G366" s="402" t="s">
        <v>404</v>
      </c>
      <c r="H366" s="402">
        <v>4</v>
      </c>
      <c r="I366" s="402" t="s">
        <v>404</v>
      </c>
      <c r="J366" s="402" t="s">
        <v>1137</v>
      </c>
      <c r="K366" s="402">
        <v>35</v>
      </c>
      <c r="L366" s="402" t="s">
        <v>1138</v>
      </c>
      <c r="M366" s="403" t="s">
        <v>420</v>
      </c>
      <c r="N366" s="402" t="s">
        <v>1139</v>
      </c>
      <c r="O366" s="401"/>
      <c r="P366" s="405"/>
      <c r="Q366" s="405"/>
      <c r="R366" s="407"/>
      <c r="S366" s="405"/>
      <c r="T366" s="405"/>
      <c r="U366" s="407"/>
      <c r="V366" s="408"/>
      <c r="W366" s="405"/>
      <c r="X366" s="406"/>
      <c r="Y366" s="379"/>
      <c r="Z366" s="379"/>
    </row>
    <row r="367" spans="1:26" ht="20.399999999999999">
      <c r="A367" s="400" t="s">
        <v>1888</v>
      </c>
      <c r="B367" s="401" t="s">
        <v>1933</v>
      </c>
      <c r="C367" s="402" t="s">
        <v>1934</v>
      </c>
      <c r="D367" s="403">
        <v>75</v>
      </c>
      <c r="E367" s="402">
        <v>70</v>
      </c>
      <c r="F367" s="402">
        <v>60</v>
      </c>
      <c r="G367" s="402">
        <v>30</v>
      </c>
      <c r="H367" s="402">
        <v>6</v>
      </c>
      <c r="I367" s="402">
        <v>2</v>
      </c>
      <c r="J367" s="402" t="s">
        <v>1137</v>
      </c>
      <c r="K367" s="402">
        <v>40</v>
      </c>
      <c r="L367" s="402" t="s">
        <v>1124</v>
      </c>
      <c r="M367" s="403" t="s">
        <v>419</v>
      </c>
      <c r="N367" s="402" t="s">
        <v>1139</v>
      </c>
      <c r="O367" s="401"/>
      <c r="P367" s="405"/>
      <c r="Q367" s="405"/>
      <c r="R367" s="407"/>
      <c r="S367" s="405"/>
      <c r="T367" s="405"/>
      <c r="U367" s="407"/>
      <c r="V367" s="408"/>
      <c r="W367" s="405"/>
      <c r="X367" s="406"/>
      <c r="Y367" s="379"/>
      <c r="Z367" s="379"/>
    </row>
    <row r="368" spans="1:26" ht="244.8">
      <c r="A368" s="400" t="s">
        <v>1888</v>
      </c>
      <c r="B368" s="401" t="s">
        <v>1414</v>
      </c>
      <c r="C368" s="402" t="s">
        <v>1935</v>
      </c>
      <c r="D368" s="403">
        <v>68</v>
      </c>
      <c r="E368" s="402">
        <v>70</v>
      </c>
      <c r="F368" s="402">
        <v>60</v>
      </c>
      <c r="G368" s="402">
        <v>30</v>
      </c>
      <c r="H368" s="402">
        <v>15</v>
      </c>
      <c r="I368" s="402">
        <v>3</v>
      </c>
      <c r="J368" s="402" t="s">
        <v>1137</v>
      </c>
      <c r="K368" s="402">
        <v>35</v>
      </c>
      <c r="L368" s="402" t="s">
        <v>1145</v>
      </c>
      <c r="M368" s="403" t="s">
        <v>419</v>
      </c>
      <c r="N368" s="402" t="s">
        <v>1112</v>
      </c>
      <c r="O368" s="401"/>
      <c r="P368" s="405" t="s">
        <v>1936</v>
      </c>
      <c r="Q368" s="405" t="s">
        <v>1937</v>
      </c>
      <c r="R368" s="407" t="s">
        <v>1938</v>
      </c>
      <c r="S368" s="405"/>
      <c r="T368" s="405"/>
      <c r="U368" s="407"/>
      <c r="V368" s="408"/>
      <c r="W368" s="405"/>
      <c r="X368" s="406"/>
      <c r="Y368" s="379"/>
      <c r="Z368" s="379"/>
    </row>
    <row r="369" spans="1:26" ht="20.399999999999999">
      <c r="A369" s="400" t="s">
        <v>1939</v>
      </c>
      <c r="B369" s="401" t="s">
        <v>1940</v>
      </c>
      <c r="C369" s="402" t="s">
        <v>1941</v>
      </c>
      <c r="D369" s="403">
        <v>75</v>
      </c>
      <c r="E369" s="402">
        <v>70</v>
      </c>
      <c r="F369" s="402">
        <v>60</v>
      </c>
      <c r="G369" s="402">
        <v>30</v>
      </c>
      <c r="H369" s="402">
        <v>4</v>
      </c>
      <c r="I369" s="402">
        <v>2</v>
      </c>
      <c r="J369" s="402" t="s">
        <v>1137</v>
      </c>
      <c r="K369" s="402">
        <v>40</v>
      </c>
      <c r="L369" s="402" t="s">
        <v>1145</v>
      </c>
      <c r="M369" s="403" t="s">
        <v>419</v>
      </c>
      <c r="N369" s="402" t="s">
        <v>1139</v>
      </c>
      <c r="O369" s="401"/>
      <c r="P369" s="405"/>
      <c r="Q369" s="405"/>
      <c r="R369" s="407"/>
      <c r="S369" s="405"/>
      <c r="T369" s="405"/>
      <c r="U369" s="407"/>
      <c r="V369" s="408"/>
      <c r="W369" s="405"/>
      <c r="X369" s="406"/>
      <c r="Y369" s="379"/>
      <c r="Z369" s="379"/>
    </row>
    <row r="370" spans="1:26" ht="20.399999999999999">
      <c r="A370" s="400" t="s">
        <v>1939</v>
      </c>
      <c r="B370" s="401" t="s">
        <v>1940</v>
      </c>
      <c r="C370" s="402" t="s">
        <v>1942</v>
      </c>
      <c r="D370" s="403">
        <v>75</v>
      </c>
      <c r="E370" s="402">
        <v>70</v>
      </c>
      <c r="F370" s="402">
        <v>60</v>
      </c>
      <c r="G370" s="402">
        <v>30</v>
      </c>
      <c r="H370" s="402">
        <v>4</v>
      </c>
      <c r="I370" s="402">
        <v>2</v>
      </c>
      <c r="J370" s="402" t="s">
        <v>1137</v>
      </c>
      <c r="K370" s="402">
        <v>40</v>
      </c>
      <c r="L370" s="402" t="s">
        <v>1145</v>
      </c>
      <c r="M370" s="403" t="s">
        <v>419</v>
      </c>
      <c r="N370" s="402" t="s">
        <v>1139</v>
      </c>
      <c r="O370" s="401"/>
      <c r="P370" s="405"/>
      <c r="Q370" s="405"/>
      <c r="R370" s="407"/>
      <c r="S370" s="405"/>
      <c r="T370" s="405"/>
      <c r="U370" s="407"/>
      <c r="V370" s="408"/>
      <c r="W370" s="405"/>
      <c r="X370" s="406"/>
      <c r="Y370" s="379"/>
      <c r="Z370" s="379"/>
    </row>
    <row r="371" spans="1:26" ht="20.399999999999999">
      <c r="A371" s="400" t="s">
        <v>1939</v>
      </c>
      <c r="B371" s="401" t="s">
        <v>1940</v>
      </c>
      <c r="C371" s="402" t="s">
        <v>1943</v>
      </c>
      <c r="D371" s="403">
        <v>75</v>
      </c>
      <c r="E371" s="402">
        <v>70</v>
      </c>
      <c r="F371" s="402">
        <v>60</v>
      </c>
      <c r="G371" s="402">
        <v>30</v>
      </c>
      <c r="H371" s="402">
        <v>4</v>
      </c>
      <c r="I371" s="402">
        <v>2</v>
      </c>
      <c r="J371" s="402" t="s">
        <v>1137</v>
      </c>
      <c r="K371" s="402">
        <v>40</v>
      </c>
      <c r="L371" s="402" t="s">
        <v>1145</v>
      </c>
      <c r="M371" s="403" t="s">
        <v>419</v>
      </c>
      <c r="N371" s="402" t="s">
        <v>1139</v>
      </c>
      <c r="O371" s="401"/>
      <c r="P371" s="405"/>
      <c r="Q371" s="405"/>
      <c r="R371" s="407"/>
      <c r="S371" s="405"/>
      <c r="T371" s="405"/>
      <c r="U371" s="407"/>
      <c r="V371" s="408"/>
      <c r="W371" s="405"/>
      <c r="X371" s="406"/>
      <c r="Y371" s="379"/>
      <c r="Z371" s="379"/>
    </row>
    <row r="372" spans="1:26" ht="20.399999999999999">
      <c r="A372" s="400" t="s">
        <v>1939</v>
      </c>
      <c r="B372" s="401" t="s">
        <v>1940</v>
      </c>
      <c r="C372" s="402" t="s">
        <v>1944</v>
      </c>
      <c r="D372" s="403">
        <v>75</v>
      </c>
      <c r="E372" s="402">
        <v>70</v>
      </c>
      <c r="F372" s="402">
        <v>60</v>
      </c>
      <c r="G372" s="402">
        <v>30</v>
      </c>
      <c r="H372" s="402">
        <v>4</v>
      </c>
      <c r="I372" s="402">
        <v>2</v>
      </c>
      <c r="J372" s="402" t="s">
        <v>1137</v>
      </c>
      <c r="K372" s="402">
        <v>40</v>
      </c>
      <c r="L372" s="402" t="s">
        <v>1145</v>
      </c>
      <c r="M372" s="403" t="s">
        <v>419</v>
      </c>
      <c r="N372" s="402" t="s">
        <v>1139</v>
      </c>
      <c r="O372" s="401"/>
      <c r="P372" s="405"/>
      <c r="Q372" s="405"/>
      <c r="R372" s="407"/>
      <c r="S372" s="405"/>
      <c r="T372" s="405"/>
      <c r="U372" s="407"/>
      <c r="V372" s="408"/>
      <c r="W372" s="405"/>
      <c r="X372" s="406"/>
      <c r="Y372" s="379"/>
      <c r="Z372" s="379"/>
    </row>
    <row r="373" spans="1:26" ht="20.399999999999999">
      <c r="A373" s="400" t="s">
        <v>1939</v>
      </c>
      <c r="B373" s="401" t="s">
        <v>1940</v>
      </c>
      <c r="C373" s="402" t="s">
        <v>1945</v>
      </c>
      <c r="D373" s="403">
        <v>75</v>
      </c>
      <c r="E373" s="402">
        <v>70</v>
      </c>
      <c r="F373" s="402">
        <v>60</v>
      </c>
      <c r="G373" s="402">
        <v>30</v>
      </c>
      <c r="H373" s="402">
        <v>4</v>
      </c>
      <c r="I373" s="402">
        <v>2</v>
      </c>
      <c r="J373" s="402" t="s">
        <v>1137</v>
      </c>
      <c r="K373" s="402">
        <v>40</v>
      </c>
      <c r="L373" s="402" t="s">
        <v>1145</v>
      </c>
      <c r="M373" s="403" t="s">
        <v>419</v>
      </c>
      <c r="N373" s="402" t="s">
        <v>1139</v>
      </c>
      <c r="O373" s="401"/>
      <c r="P373" s="405"/>
      <c r="Q373" s="405"/>
      <c r="R373" s="407"/>
      <c r="S373" s="405"/>
      <c r="T373" s="405"/>
      <c r="U373" s="407"/>
      <c r="V373" s="408"/>
      <c r="W373" s="405"/>
      <c r="X373" s="406"/>
      <c r="Y373" s="379"/>
      <c r="Z373" s="379"/>
    </row>
    <row r="374" spans="1:26" ht="20.399999999999999">
      <c r="A374" s="400" t="s">
        <v>1939</v>
      </c>
      <c r="B374" s="401" t="s">
        <v>1405</v>
      </c>
      <c r="C374" s="402" t="s">
        <v>1946</v>
      </c>
      <c r="D374" s="403">
        <v>75</v>
      </c>
      <c r="E374" s="402">
        <v>70</v>
      </c>
      <c r="F374" s="402">
        <v>60</v>
      </c>
      <c r="G374" s="402">
        <v>30</v>
      </c>
      <c r="H374" s="402">
        <v>4</v>
      </c>
      <c r="I374" s="402">
        <v>2</v>
      </c>
      <c r="J374" s="402" t="s">
        <v>1137</v>
      </c>
      <c r="K374" s="402">
        <v>40</v>
      </c>
      <c r="L374" s="402" t="s">
        <v>1138</v>
      </c>
      <c r="M374" s="403" t="s">
        <v>419</v>
      </c>
      <c r="N374" s="402" t="s">
        <v>1139</v>
      </c>
      <c r="O374" s="401"/>
      <c r="P374" s="405"/>
      <c r="Q374" s="405"/>
      <c r="R374" s="407"/>
      <c r="S374" s="405"/>
      <c r="T374" s="405"/>
      <c r="U374" s="407"/>
      <c r="V374" s="408"/>
      <c r="W374" s="405"/>
      <c r="X374" s="406"/>
      <c r="Y374" s="379"/>
      <c r="Z374" s="379"/>
    </row>
    <row r="375" spans="1:26" ht="20.399999999999999">
      <c r="A375" s="400" t="s">
        <v>1939</v>
      </c>
      <c r="B375" s="401" t="s">
        <v>1940</v>
      </c>
      <c r="C375" s="402" t="s">
        <v>1947</v>
      </c>
      <c r="D375" s="403">
        <v>75</v>
      </c>
      <c r="E375" s="402">
        <v>70</v>
      </c>
      <c r="F375" s="402">
        <v>60</v>
      </c>
      <c r="G375" s="402">
        <v>30</v>
      </c>
      <c r="H375" s="402">
        <v>4</v>
      </c>
      <c r="I375" s="402">
        <v>2</v>
      </c>
      <c r="J375" s="402" t="s">
        <v>1137</v>
      </c>
      <c r="K375" s="402">
        <v>40</v>
      </c>
      <c r="L375" s="402" t="s">
        <v>1138</v>
      </c>
      <c r="M375" s="403" t="s">
        <v>419</v>
      </c>
      <c r="N375" s="402" t="s">
        <v>1139</v>
      </c>
      <c r="O375" s="401"/>
      <c r="P375" s="405"/>
      <c r="Q375" s="405"/>
      <c r="R375" s="407"/>
      <c r="S375" s="405"/>
      <c r="T375" s="405"/>
      <c r="U375" s="407"/>
      <c r="V375" s="408"/>
      <c r="W375" s="405"/>
      <c r="X375" s="406"/>
      <c r="Y375" s="379"/>
      <c r="Z375" s="379"/>
    </row>
    <row r="376" spans="1:26" ht="20.399999999999999">
      <c r="A376" s="400" t="s">
        <v>1939</v>
      </c>
      <c r="B376" s="401" t="s">
        <v>1940</v>
      </c>
      <c r="C376" s="402" t="s">
        <v>1948</v>
      </c>
      <c r="D376" s="403">
        <v>75</v>
      </c>
      <c r="E376" s="402">
        <v>70</v>
      </c>
      <c r="F376" s="402">
        <v>60</v>
      </c>
      <c r="G376" s="402">
        <v>30</v>
      </c>
      <c r="H376" s="402">
        <v>4</v>
      </c>
      <c r="I376" s="402">
        <v>2</v>
      </c>
      <c r="J376" s="402" t="s">
        <v>1137</v>
      </c>
      <c r="K376" s="402">
        <v>40</v>
      </c>
      <c r="L376" s="402" t="s">
        <v>1145</v>
      </c>
      <c r="M376" s="403" t="s">
        <v>419</v>
      </c>
      <c r="N376" s="402" t="s">
        <v>1139</v>
      </c>
      <c r="O376" s="401"/>
      <c r="P376" s="405"/>
      <c r="Q376" s="405"/>
      <c r="R376" s="407"/>
      <c r="S376" s="405"/>
      <c r="T376" s="405"/>
      <c r="U376" s="407"/>
      <c r="V376" s="408"/>
      <c r="W376" s="405"/>
      <c r="X376" s="406"/>
      <c r="Y376" s="379"/>
      <c r="Z376" s="379"/>
    </row>
    <row r="377" spans="1:26" ht="20.399999999999999">
      <c r="A377" s="400" t="s">
        <v>1939</v>
      </c>
      <c r="B377" s="401" t="s">
        <v>1949</v>
      </c>
      <c r="C377" s="402" t="s">
        <v>1950</v>
      </c>
      <c r="D377" s="403">
        <v>75</v>
      </c>
      <c r="E377" s="402">
        <v>70</v>
      </c>
      <c r="F377" s="402">
        <v>60</v>
      </c>
      <c r="G377" s="402">
        <v>30</v>
      </c>
      <c r="H377" s="402">
        <v>4</v>
      </c>
      <c r="I377" s="402">
        <v>2</v>
      </c>
      <c r="J377" s="402" t="s">
        <v>1137</v>
      </c>
      <c r="K377" s="402">
        <v>40</v>
      </c>
      <c r="L377" s="402" t="s">
        <v>1145</v>
      </c>
      <c r="M377" s="403" t="s">
        <v>419</v>
      </c>
      <c r="N377" s="402" t="s">
        <v>1139</v>
      </c>
      <c r="O377" s="401"/>
      <c r="P377" s="405"/>
      <c r="Q377" s="405"/>
      <c r="R377" s="407"/>
      <c r="S377" s="405"/>
      <c r="T377" s="405"/>
      <c r="U377" s="407"/>
      <c r="V377" s="408"/>
      <c r="W377" s="405"/>
      <c r="X377" s="406"/>
      <c r="Y377" s="379"/>
      <c r="Z377" s="379"/>
    </row>
    <row r="378" spans="1:26" ht="20.399999999999999">
      <c r="A378" s="400" t="s">
        <v>1939</v>
      </c>
      <c r="B378" s="401" t="s">
        <v>1940</v>
      </c>
      <c r="C378" s="402" t="s">
        <v>1951</v>
      </c>
      <c r="D378" s="403">
        <v>75</v>
      </c>
      <c r="E378" s="402">
        <v>70</v>
      </c>
      <c r="F378" s="402">
        <v>60</v>
      </c>
      <c r="G378" s="402">
        <v>30</v>
      </c>
      <c r="H378" s="402">
        <v>4</v>
      </c>
      <c r="I378" s="402">
        <v>2</v>
      </c>
      <c r="J378" s="402" t="s">
        <v>1137</v>
      </c>
      <c r="K378" s="402">
        <v>40</v>
      </c>
      <c r="L378" s="402" t="s">
        <v>1145</v>
      </c>
      <c r="M378" s="403" t="s">
        <v>419</v>
      </c>
      <c r="N378" s="402" t="s">
        <v>1139</v>
      </c>
      <c r="O378" s="401"/>
      <c r="P378" s="405"/>
      <c r="Q378" s="405"/>
      <c r="R378" s="407"/>
      <c r="S378" s="405"/>
      <c r="T378" s="405"/>
      <c r="U378" s="407"/>
      <c r="V378" s="408"/>
      <c r="W378" s="405"/>
      <c r="X378" s="406"/>
      <c r="Y378" s="379"/>
      <c r="Z378" s="379"/>
    </row>
    <row r="379" spans="1:26" ht="20.399999999999999">
      <c r="A379" s="400" t="s">
        <v>1939</v>
      </c>
      <c r="B379" s="401" t="s">
        <v>1940</v>
      </c>
      <c r="C379" s="402" t="s">
        <v>1952</v>
      </c>
      <c r="D379" s="403">
        <v>75</v>
      </c>
      <c r="E379" s="402">
        <v>70</v>
      </c>
      <c r="F379" s="402">
        <v>60</v>
      </c>
      <c r="G379" s="402">
        <v>30</v>
      </c>
      <c r="H379" s="402">
        <v>4</v>
      </c>
      <c r="I379" s="402">
        <v>2</v>
      </c>
      <c r="J379" s="402" t="s">
        <v>1137</v>
      </c>
      <c r="K379" s="402">
        <v>40</v>
      </c>
      <c r="L379" s="402" t="s">
        <v>1145</v>
      </c>
      <c r="M379" s="403" t="s">
        <v>419</v>
      </c>
      <c r="N379" s="402" t="s">
        <v>1139</v>
      </c>
      <c r="O379" s="401"/>
      <c r="P379" s="405"/>
      <c r="Q379" s="405"/>
      <c r="R379" s="407"/>
      <c r="S379" s="405"/>
      <c r="T379" s="405"/>
      <c r="U379" s="407"/>
      <c r="V379" s="408"/>
      <c r="W379" s="405"/>
      <c r="X379" s="406"/>
      <c r="Y379" s="379"/>
      <c r="Z379" s="379"/>
    </row>
    <row r="380" spans="1:26" ht="20.399999999999999">
      <c r="A380" s="400" t="s">
        <v>1939</v>
      </c>
      <c r="B380" s="401" t="s">
        <v>1940</v>
      </c>
      <c r="C380" s="402" t="s">
        <v>1953</v>
      </c>
      <c r="D380" s="403">
        <v>75</v>
      </c>
      <c r="E380" s="402">
        <v>70</v>
      </c>
      <c r="F380" s="402">
        <v>60</v>
      </c>
      <c r="G380" s="402">
        <v>30</v>
      </c>
      <c r="H380" s="402">
        <v>4</v>
      </c>
      <c r="I380" s="402">
        <v>2</v>
      </c>
      <c r="J380" s="402" t="s">
        <v>1137</v>
      </c>
      <c r="K380" s="402">
        <v>40</v>
      </c>
      <c r="L380" s="402" t="s">
        <v>1145</v>
      </c>
      <c r="M380" s="403" t="s">
        <v>419</v>
      </c>
      <c r="N380" s="402" t="s">
        <v>1139</v>
      </c>
      <c r="O380" s="401"/>
      <c r="P380" s="405"/>
      <c r="Q380" s="405"/>
      <c r="R380" s="407"/>
      <c r="S380" s="405"/>
      <c r="T380" s="405"/>
      <c r="U380" s="407"/>
      <c r="V380" s="408"/>
      <c r="W380" s="405"/>
      <c r="X380" s="406"/>
      <c r="Y380" s="379"/>
      <c r="Z380" s="379"/>
    </row>
    <row r="381" spans="1:26" ht="20.399999999999999">
      <c r="A381" s="400" t="s">
        <v>1939</v>
      </c>
      <c r="B381" s="401" t="s">
        <v>1245</v>
      </c>
      <c r="C381" s="402" t="s">
        <v>1246</v>
      </c>
      <c r="D381" s="403">
        <v>75</v>
      </c>
      <c r="E381" s="402">
        <v>70</v>
      </c>
      <c r="F381" s="402">
        <v>60</v>
      </c>
      <c r="G381" s="402">
        <v>30</v>
      </c>
      <c r="H381" s="402">
        <v>4</v>
      </c>
      <c r="I381" s="402">
        <v>2</v>
      </c>
      <c r="J381" s="402" t="s">
        <v>1137</v>
      </c>
      <c r="K381" s="402">
        <v>40</v>
      </c>
      <c r="L381" s="402" t="s">
        <v>1145</v>
      </c>
      <c r="M381" s="403" t="s">
        <v>419</v>
      </c>
      <c r="N381" s="402" t="s">
        <v>1139</v>
      </c>
      <c r="O381" s="401"/>
      <c r="P381" s="405"/>
      <c r="Q381" s="405"/>
      <c r="R381" s="407"/>
      <c r="S381" s="405"/>
      <c r="T381" s="405"/>
      <c r="U381" s="407"/>
      <c r="V381" s="408"/>
      <c r="W381" s="405"/>
      <c r="X381" s="406"/>
      <c r="Y381" s="379"/>
      <c r="Z381" s="379"/>
    </row>
    <row r="382" spans="1:26" ht="20.399999999999999">
      <c r="A382" s="400" t="s">
        <v>1954</v>
      </c>
      <c r="B382" s="401" t="s">
        <v>1405</v>
      </c>
      <c r="C382" s="402" t="s">
        <v>1955</v>
      </c>
      <c r="D382" s="403">
        <v>75</v>
      </c>
      <c r="E382" s="402">
        <v>70</v>
      </c>
      <c r="F382" s="402">
        <v>60</v>
      </c>
      <c r="G382" s="402">
        <v>30</v>
      </c>
      <c r="H382" s="402">
        <v>4</v>
      </c>
      <c r="I382" s="402">
        <v>2</v>
      </c>
      <c r="J382" s="402" t="s">
        <v>1137</v>
      </c>
      <c r="K382" s="402">
        <v>40</v>
      </c>
      <c r="L382" s="402" t="s">
        <v>1145</v>
      </c>
      <c r="M382" s="403" t="s">
        <v>419</v>
      </c>
      <c r="N382" s="402" t="s">
        <v>1139</v>
      </c>
      <c r="O382" s="401"/>
      <c r="P382" s="405"/>
      <c r="Q382" s="405"/>
      <c r="R382" s="407"/>
      <c r="S382" s="405"/>
      <c r="T382" s="405"/>
      <c r="U382" s="407"/>
      <c r="V382" s="408"/>
      <c r="W382" s="405"/>
      <c r="X382" s="406"/>
      <c r="Y382" s="379"/>
      <c r="Z382" s="379"/>
    </row>
    <row r="383" spans="1:26">
      <c r="A383" s="400" t="s">
        <v>1956</v>
      </c>
      <c r="B383" s="401" t="s">
        <v>1957</v>
      </c>
      <c r="C383" s="402" t="s">
        <v>1958</v>
      </c>
      <c r="D383" s="403">
        <v>75</v>
      </c>
      <c r="E383" s="402">
        <v>70</v>
      </c>
      <c r="F383" s="402">
        <v>60</v>
      </c>
      <c r="G383" s="402">
        <v>30</v>
      </c>
      <c r="H383" s="402">
        <v>4</v>
      </c>
      <c r="I383" s="402">
        <v>2</v>
      </c>
      <c r="J383" s="402" t="s">
        <v>1137</v>
      </c>
      <c r="K383" s="402">
        <v>40</v>
      </c>
      <c r="L383" s="402" t="s">
        <v>1138</v>
      </c>
      <c r="M383" s="403" t="s">
        <v>419</v>
      </c>
      <c r="N383" s="402" t="s">
        <v>1139</v>
      </c>
      <c r="O383" s="401"/>
      <c r="P383" s="405"/>
      <c r="Q383" s="405"/>
      <c r="R383" s="407"/>
      <c r="S383" s="405"/>
      <c r="T383" s="405"/>
      <c r="U383" s="407"/>
      <c r="V383" s="408"/>
      <c r="W383" s="405"/>
      <c r="X383" s="406"/>
      <c r="Y383" s="379"/>
      <c r="Z383" s="379"/>
    </row>
    <row r="384" spans="1:26" ht="20.399999999999999">
      <c r="A384" s="400" t="s">
        <v>1959</v>
      </c>
      <c r="B384" s="401" t="s">
        <v>1960</v>
      </c>
      <c r="C384" s="402" t="s">
        <v>1961</v>
      </c>
      <c r="D384" s="403">
        <v>75</v>
      </c>
      <c r="E384" s="402">
        <v>70</v>
      </c>
      <c r="F384" s="402">
        <v>60</v>
      </c>
      <c r="G384" s="402">
        <v>30</v>
      </c>
      <c r="H384" s="402">
        <v>4</v>
      </c>
      <c r="I384" s="402">
        <v>2</v>
      </c>
      <c r="J384" s="402" t="s">
        <v>1137</v>
      </c>
      <c r="K384" s="402">
        <v>35</v>
      </c>
      <c r="L384" s="402" t="s">
        <v>1138</v>
      </c>
      <c r="M384" s="403" t="s">
        <v>419</v>
      </c>
      <c r="N384" s="402" t="s">
        <v>1139</v>
      </c>
      <c r="O384" s="401"/>
      <c r="P384" s="405"/>
      <c r="Q384" s="405"/>
      <c r="R384" s="407"/>
      <c r="S384" s="405"/>
      <c r="T384" s="405"/>
      <c r="U384" s="407"/>
      <c r="V384" s="408"/>
      <c r="W384" s="405"/>
      <c r="X384" s="406"/>
      <c r="Y384" s="379"/>
      <c r="Z384" s="379"/>
    </row>
    <row r="385" spans="1:26" ht="51">
      <c r="A385" s="400" t="s">
        <v>1959</v>
      </c>
      <c r="B385" s="401" t="s">
        <v>1405</v>
      </c>
      <c r="C385" s="402" t="s">
        <v>1962</v>
      </c>
      <c r="D385" s="403">
        <v>75</v>
      </c>
      <c r="E385" s="402">
        <v>70</v>
      </c>
      <c r="F385" s="402">
        <v>60</v>
      </c>
      <c r="G385" s="402">
        <v>30</v>
      </c>
      <c r="H385" s="402">
        <v>4</v>
      </c>
      <c r="I385" s="402">
        <v>2</v>
      </c>
      <c r="J385" s="402" t="s">
        <v>1963</v>
      </c>
      <c r="K385" s="402">
        <v>40</v>
      </c>
      <c r="L385" s="402" t="s">
        <v>1124</v>
      </c>
      <c r="M385" s="403" t="s">
        <v>419</v>
      </c>
      <c r="N385" s="402" t="s">
        <v>1139</v>
      </c>
      <c r="O385" s="401"/>
      <c r="P385" s="405" t="s">
        <v>1964</v>
      </c>
      <c r="Q385" s="405"/>
      <c r="R385" s="407"/>
      <c r="S385" s="405"/>
      <c r="T385" s="405"/>
      <c r="U385" s="407"/>
      <c r="V385" s="408"/>
      <c r="W385" s="405"/>
      <c r="X385" s="406"/>
      <c r="Y385" s="379"/>
      <c r="Z385" s="379"/>
    </row>
    <row r="386" spans="1:26">
      <c r="A386" s="400" t="s">
        <v>1959</v>
      </c>
      <c r="B386" s="401" t="s">
        <v>1960</v>
      </c>
      <c r="C386" s="402" t="s">
        <v>1965</v>
      </c>
      <c r="D386" s="403">
        <v>75</v>
      </c>
      <c r="E386" s="402">
        <v>70</v>
      </c>
      <c r="F386" s="402">
        <v>60</v>
      </c>
      <c r="G386" s="402">
        <v>30</v>
      </c>
      <c r="H386" s="402">
        <v>4</v>
      </c>
      <c r="I386" s="402">
        <v>2</v>
      </c>
      <c r="J386" s="402" t="s">
        <v>1137</v>
      </c>
      <c r="K386" s="402">
        <v>35</v>
      </c>
      <c r="L386" s="402" t="s">
        <v>1138</v>
      </c>
      <c r="M386" s="403" t="s">
        <v>419</v>
      </c>
      <c r="N386" s="402" t="s">
        <v>1139</v>
      </c>
      <c r="O386" s="401"/>
      <c r="P386" s="405"/>
      <c r="Q386" s="405"/>
      <c r="R386" s="407"/>
      <c r="S386" s="405"/>
      <c r="T386" s="405"/>
      <c r="U386" s="407"/>
      <c r="V386" s="408"/>
      <c r="W386" s="405"/>
      <c r="X386" s="406"/>
      <c r="Y386" s="379"/>
      <c r="Z386" s="379"/>
    </row>
    <row r="387" spans="1:26">
      <c r="A387" s="400" t="s">
        <v>1959</v>
      </c>
      <c r="B387" s="401" t="s">
        <v>1966</v>
      </c>
      <c r="C387" s="402" t="s">
        <v>1967</v>
      </c>
      <c r="D387" s="403">
        <v>75</v>
      </c>
      <c r="E387" s="402">
        <v>70</v>
      </c>
      <c r="F387" s="402">
        <v>60</v>
      </c>
      <c r="G387" s="402">
        <v>30</v>
      </c>
      <c r="H387" s="402">
        <v>4</v>
      </c>
      <c r="I387" s="402">
        <v>2</v>
      </c>
      <c r="J387" s="402" t="s">
        <v>1137</v>
      </c>
      <c r="K387" s="402">
        <v>35</v>
      </c>
      <c r="L387" s="402" t="s">
        <v>1138</v>
      </c>
      <c r="M387" s="403" t="s">
        <v>419</v>
      </c>
      <c r="N387" s="402" t="s">
        <v>1139</v>
      </c>
      <c r="O387" s="401"/>
      <c r="P387" s="405"/>
      <c r="Q387" s="405"/>
      <c r="R387" s="407"/>
      <c r="S387" s="405"/>
      <c r="T387" s="405"/>
      <c r="U387" s="407"/>
      <c r="V387" s="408"/>
      <c r="W387" s="405"/>
      <c r="X387" s="406"/>
      <c r="Y387" s="379"/>
      <c r="Z387" s="379"/>
    </row>
    <row r="388" spans="1:26" ht="20.399999999999999">
      <c r="A388" s="400" t="s">
        <v>1968</v>
      </c>
      <c r="B388" s="401" t="s">
        <v>1387</v>
      </c>
      <c r="C388" s="402" t="s">
        <v>1969</v>
      </c>
      <c r="D388" s="403">
        <v>75</v>
      </c>
      <c r="E388" s="402">
        <v>70</v>
      </c>
      <c r="F388" s="402">
        <v>60</v>
      </c>
      <c r="G388" s="402">
        <v>30</v>
      </c>
      <c r="H388" s="402">
        <v>4</v>
      </c>
      <c r="I388" s="402">
        <v>2</v>
      </c>
      <c r="J388" s="402" t="s">
        <v>1137</v>
      </c>
      <c r="K388" s="402">
        <v>35</v>
      </c>
      <c r="L388" s="402" t="s">
        <v>1138</v>
      </c>
      <c r="M388" s="403" t="s">
        <v>419</v>
      </c>
      <c r="N388" s="402" t="s">
        <v>1139</v>
      </c>
      <c r="O388" s="401"/>
      <c r="P388" s="405"/>
      <c r="Q388" s="405"/>
      <c r="R388" s="407"/>
      <c r="S388" s="405"/>
      <c r="T388" s="405"/>
      <c r="U388" s="407"/>
      <c r="V388" s="408"/>
      <c r="W388" s="405"/>
      <c r="X388" s="406"/>
      <c r="Y388" s="379"/>
      <c r="Z388" s="379"/>
    </row>
    <row r="389" spans="1:26" ht="20.399999999999999">
      <c r="A389" s="400" t="s">
        <v>1968</v>
      </c>
      <c r="B389" s="401" t="s">
        <v>1722</v>
      </c>
      <c r="C389" s="402" t="s">
        <v>1970</v>
      </c>
      <c r="D389" s="403">
        <v>75</v>
      </c>
      <c r="E389" s="402">
        <v>70</v>
      </c>
      <c r="F389" s="402">
        <v>60</v>
      </c>
      <c r="G389" s="402">
        <v>30</v>
      </c>
      <c r="H389" s="402">
        <v>4</v>
      </c>
      <c r="I389" s="402">
        <v>2</v>
      </c>
      <c r="J389" s="402" t="s">
        <v>1137</v>
      </c>
      <c r="K389" s="402">
        <v>35</v>
      </c>
      <c r="L389" s="402" t="s">
        <v>1138</v>
      </c>
      <c r="M389" s="403" t="s">
        <v>419</v>
      </c>
      <c r="N389" s="402" t="s">
        <v>1139</v>
      </c>
      <c r="O389" s="401"/>
      <c r="P389" s="405"/>
      <c r="Q389" s="405"/>
      <c r="R389" s="407"/>
      <c r="S389" s="405"/>
      <c r="T389" s="405"/>
      <c r="U389" s="407"/>
      <c r="V389" s="408"/>
      <c r="W389" s="405"/>
      <c r="X389" s="406"/>
      <c r="Y389" s="379"/>
      <c r="Z389" s="379"/>
    </row>
    <row r="390" spans="1:26" ht="20.399999999999999">
      <c r="A390" s="400" t="s">
        <v>1968</v>
      </c>
      <c r="B390" s="401" t="s">
        <v>1960</v>
      </c>
      <c r="C390" s="402" t="s">
        <v>1971</v>
      </c>
      <c r="D390" s="403">
        <v>75</v>
      </c>
      <c r="E390" s="402">
        <v>70</v>
      </c>
      <c r="F390" s="402">
        <v>60</v>
      </c>
      <c r="G390" s="402">
        <v>30</v>
      </c>
      <c r="H390" s="402">
        <v>4</v>
      </c>
      <c r="I390" s="402">
        <v>2</v>
      </c>
      <c r="J390" s="402" t="s">
        <v>1137</v>
      </c>
      <c r="K390" s="402">
        <v>35</v>
      </c>
      <c r="L390" s="402" t="s">
        <v>1138</v>
      </c>
      <c r="M390" s="403" t="s">
        <v>419</v>
      </c>
      <c r="N390" s="402" t="s">
        <v>1139</v>
      </c>
      <c r="O390" s="401"/>
      <c r="P390" s="405"/>
      <c r="Q390" s="405"/>
      <c r="R390" s="407"/>
      <c r="S390" s="405"/>
      <c r="T390" s="405"/>
      <c r="U390" s="407"/>
      <c r="V390" s="408"/>
      <c r="W390" s="405"/>
      <c r="X390" s="406"/>
      <c r="Y390" s="379"/>
      <c r="Z390" s="379"/>
    </row>
    <row r="391" spans="1:26" ht="20.399999999999999">
      <c r="A391" s="400" t="s">
        <v>1968</v>
      </c>
      <c r="B391" s="401" t="s">
        <v>1960</v>
      </c>
      <c r="C391" s="402" t="s">
        <v>1972</v>
      </c>
      <c r="D391" s="403">
        <v>75</v>
      </c>
      <c r="E391" s="402">
        <v>70</v>
      </c>
      <c r="F391" s="402">
        <v>60</v>
      </c>
      <c r="G391" s="402">
        <v>30</v>
      </c>
      <c r="H391" s="402">
        <v>4</v>
      </c>
      <c r="I391" s="402">
        <v>2</v>
      </c>
      <c r="J391" s="402" t="s">
        <v>1137</v>
      </c>
      <c r="K391" s="402">
        <v>35</v>
      </c>
      <c r="L391" s="402" t="s">
        <v>1138</v>
      </c>
      <c r="M391" s="403" t="s">
        <v>419</v>
      </c>
      <c r="N391" s="402" t="s">
        <v>1139</v>
      </c>
      <c r="O391" s="401"/>
      <c r="P391" s="405"/>
      <c r="Q391" s="405"/>
      <c r="R391" s="407"/>
      <c r="S391" s="405"/>
      <c r="T391" s="405"/>
      <c r="U391" s="407"/>
      <c r="V391" s="408"/>
      <c r="W391" s="405"/>
      <c r="X391" s="406"/>
      <c r="Y391" s="379"/>
      <c r="Z391" s="379"/>
    </row>
    <row r="392" spans="1:26" ht="20.399999999999999">
      <c r="A392" s="400" t="s">
        <v>1968</v>
      </c>
      <c r="B392" s="401" t="s">
        <v>1385</v>
      </c>
      <c r="C392" s="402" t="s">
        <v>1386</v>
      </c>
      <c r="D392" s="403">
        <v>75</v>
      </c>
      <c r="E392" s="402">
        <v>70</v>
      </c>
      <c r="F392" s="402">
        <v>60</v>
      </c>
      <c r="G392" s="402">
        <v>30</v>
      </c>
      <c r="H392" s="402">
        <v>6</v>
      </c>
      <c r="I392" s="402">
        <v>2</v>
      </c>
      <c r="J392" s="402" t="s">
        <v>1137</v>
      </c>
      <c r="K392" s="402">
        <v>35</v>
      </c>
      <c r="L392" s="402" t="s">
        <v>1145</v>
      </c>
      <c r="M392" s="403" t="s">
        <v>419</v>
      </c>
      <c r="N392" s="402" t="s">
        <v>1139</v>
      </c>
      <c r="O392" s="411"/>
      <c r="P392" s="405"/>
      <c r="Q392" s="405"/>
      <c r="R392" s="407"/>
      <c r="S392" s="405"/>
      <c r="T392" s="405"/>
      <c r="U392" s="407"/>
      <c r="V392" s="408"/>
      <c r="W392" s="405"/>
      <c r="X392" s="406"/>
      <c r="Y392" s="379"/>
      <c r="Z392" s="379"/>
    </row>
    <row r="393" spans="1:26" ht="41.25" customHeight="1">
      <c r="A393" s="400" t="s">
        <v>1968</v>
      </c>
      <c r="B393" s="401" t="s">
        <v>1835</v>
      </c>
      <c r="C393" s="402" t="s">
        <v>1973</v>
      </c>
      <c r="D393" s="403">
        <v>75</v>
      </c>
      <c r="E393" s="402">
        <v>70</v>
      </c>
      <c r="F393" s="402">
        <v>60</v>
      </c>
      <c r="G393" s="402">
        <v>30</v>
      </c>
      <c r="H393" s="402">
        <v>6</v>
      </c>
      <c r="I393" s="402">
        <v>2</v>
      </c>
      <c r="J393" s="402" t="s">
        <v>1137</v>
      </c>
      <c r="K393" s="402">
        <v>40</v>
      </c>
      <c r="L393" s="402" t="s">
        <v>1124</v>
      </c>
      <c r="M393" s="403" t="s">
        <v>419</v>
      </c>
      <c r="N393" s="402" t="s">
        <v>1139</v>
      </c>
      <c r="O393" s="401"/>
      <c r="P393" s="405" t="s">
        <v>1974</v>
      </c>
      <c r="Q393" s="405"/>
      <c r="R393" s="407"/>
      <c r="S393" s="405"/>
      <c r="T393" s="405"/>
      <c r="U393" s="407"/>
      <c r="V393" s="408"/>
      <c r="W393" s="405"/>
      <c r="X393" s="406"/>
      <c r="Y393" s="379"/>
      <c r="Z393" s="379"/>
    </row>
    <row r="394" spans="1:26" ht="409.6">
      <c r="A394" s="400" t="s">
        <v>1975</v>
      </c>
      <c r="B394" s="401"/>
      <c r="C394" s="402"/>
      <c r="D394" s="403"/>
      <c r="E394" s="402"/>
      <c r="F394" s="402"/>
      <c r="G394" s="402"/>
      <c r="H394" s="402"/>
      <c r="I394" s="402"/>
      <c r="J394" s="402"/>
      <c r="K394" s="402"/>
      <c r="L394" s="402"/>
      <c r="M394" s="403"/>
      <c r="N394" s="402"/>
      <c r="O394" s="401"/>
      <c r="P394" s="405" t="s">
        <v>1976</v>
      </c>
      <c r="Q394" s="405" t="s">
        <v>1977</v>
      </c>
      <c r="R394" s="407" t="s">
        <v>1978</v>
      </c>
      <c r="S394" s="405" t="s">
        <v>1979</v>
      </c>
      <c r="T394" s="405" t="s">
        <v>1980</v>
      </c>
      <c r="U394" s="407" t="s">
        <v>1981</v>
      </c>
      <c r="V394" s="408"/>
      <c r="W394" s="405"/>
      <c r="X394" s="406"/>
      <c r="Y394" s="379"/>
      <c r="Z394" s="379"/>
    </row>
    <row r="395" spans="1:26" ht="173.4">
      <c r="A395" s="400" t="s">
        <v>1975</v>
      </c>
      <c r="B395" s="401" t="s">
        <v>1982</v>
      </c>
      <c r="C395" s="402" t="s">
        <v>1983</v>
      </c>
      <c r="D395" s="403">
        <v>68</v>
      </c>
      <c r="E395" s="402">
        <v>68</v>
      </c>
      <c r="F395" s="402">
        <v>60</v>
      </c>
      <c r="G395" s="402">
        <v>30</v>
      </c>
      <c r="H395" s="402">
        <v>25</v>
      </c>
      <c r="I395" s="402">
        <v>15</v>
      </c>
      <c r="J395" s="402" t="s">
        <v>1137</v>
      </c>
      <c r="K395" s="402">
        <v>40</v>
      </c>
      <c r="L395" s="402" t="s">
        <v>1145</v>
      </c>
      <c r="M395" s="403" t="s">
        <v>419</v>
      </c>
      <c r="N395" s="402" t="s">
        <v>1112</v>
      </c>
      <c r="O395" s="401"/>
      <c r="P395" s="405" t="s">
        <v>1984</v>
      </c>
      <c r="Q395" s="405" t="s">
        <v>1985</v>
      </c>
      <c r="R395" s="407"/>
      <c r="S395" s="405"/>
      <c r="T395" s="405"/>
      <c r="U395" s="407"/>
      <c r="V395" s="408"/>
      <c r="W395" s="405"/>
      <c r="X395" s="406"/>
      <c r="Y395" s="379"/>
      <c r="Z395" s="379"/>
    </row>
    <row r="396" spans="1:26" ht="173.4">
      <c r="A396" s="400" t="s">
        <v>1975</v>
      </c>
      <c r="B396" s="401" t="s">
        <v>1940</v>
      </c>
      <c r="C396" s="402" t="s">
        <v>1986</v>
      </c>
      <c r="D396" s="403">
        <v>68</v>
      </c>
      <c r="E396" s="402">
        <v>68</v>
      </c>
      <c r="F396" s="402">
        <v>60</v>
      </c>
      <c r="G396" s="402">
        <v>30</v>
      </c>
      <c r="H396" s="402">
        <v>35</v>
      </c>
      <c r="I396" s="402">
        <v>35</v>
      </c>
      <c r="J396" s="402" t="s">
        <v>1963</v>
      </c>
      <c r="K396" s="402">
        <v>40</v>
      </c>
      <c r="L396" s="402" t="s">
        <v>1145</v>
      </c>
      <c r="M396" s="403" t="s">
        <v>419</v>
      </c>
      <c r="N396" s="402" t="s">
        <v>1112</v>
      </c>
      <c r="O396" s="401"/>
      <c r="P396" s="405" t="s">
        <v>1984</v>
      </c>
      <c r="Q396" s="405" t="s">
        <v>1985</v>
      </c>
      <c r="R396" s="407"/>
      <c r="S396" s="405"/>
      <c r="T396" s="405"/>
      <c r="U396" s="407"/>
      <c r="V396" s="408"/>
      <c r="W396" s="405"/>
      <c r="X396" s="406"/>
      <c r="Y396" s="379"/>
      <c r="Z396" s="379"/>
    </row>
    <row r="397" spans="1:26" ht="173.4">
      <c r="A397" s="400" t="s">
        <v>1975</v>
      </c>
      <c r="B397" s="401" t="s">
        <v>1982</v>
      </c>
      <c r="C397" s="402" t="s">
        <v>1987</v>
      </c>
      <c r="D397" s="403">
        <v>68</v>
      </c>
      <c r="E397" s="402">
        <v>68</v>
      </c>
      <c r="F397" s="402">
        <v>60</v>
      </c>
      <c r="G397" s="402">
        <v>30</v>
      </c>
      <c r="H397" s="402">
        <v>35</v>
      </c>
      <c r="I397" s="402">
        <v>15</v>
      </c>
      <c r="J397" s="402" t="s">
        <v>1137</v>
      </c>
      <c r="K397" s="402">
        <v>40</v>
      </c>
      <c r="L397" s="402" t="s">
        <v>1145</v>
      </c>
      <c r="M397" s="403" t="s">
        <v>419</v>
      </c>
      <c r="N397" s="402" t="s">
        <v>1112</v>
      </c>
      <c r="O397" s="401"/>
      <c r="P397" s="405" t="s">
        <v>1988</v>
      </c>
      <c r="Q397" s="405" t="s">
        <v>1989</v>
      </c>
      <c r="R397" s="405" t="s">
        <v>1990</v>
      </c>
      <c r="S397" s="405"/>
      <c r="T397" s="405"/>
      <c r="U397" s="407"/>
      <c r="V397" s="408"/>
      <c r="W397" s="405"/>
      <c r="X397" s="406"/>
      <c r="Y397" s="379"/>
      <c r="Z397" s="379"/>
    </row>
    <row r="398" spans="1:26" ht="173.4">
      <c r="A398" s="400" t="s">
        <v>1975</v>
      </c>
      <c r="B398" s="401" t="s">
        <v>1940</v>
      </c>
      <c r="C398" s="402" t="s">
        <v>1991</v>
      </c>
      <c r="D398" s="403">
        <v>68</v>
      </c>
      <c r="E398" s="402">
        <v>68</v>
      </c>
      <c r="F398" s="402">
        <v>60</v>
      </c>
      <c r="G398" s="402">
        <v>30</v>
      </c>
      <c r="H398" s="402">
        <v>35</v>
      </c>
      <c r="I398" s="402">
        <v>35</v>
      </c>
      <c r="J398" s="402" t="s">
        <v>1963</v>
      </c>
      <c r="K398" s="402">
        <v>40</v>
      </c>
      <c r="L398" s="418" t="s">
        <v>1124</v>
      </c>
      <c r="M398" s="403" t="s">
        <v>419</v>
      </c>
      <c r="N398" s="402" t="s">
        <v>1112</v>
      </c>
      <c r="O398" s="401"/>
      <c r="P398" s="405" t="s">
        <v>1988</v>
      </c>
      <c r="Q398" s="405" t="s">
        <v>1989</v>
      </c>
      <c r="R398" s="405" t="s">
        <v>1990</v>
      </c>
      <c r="S398" s="405" t="s">
        <v>1992</v>
      </c>
      <c r="T398" s="405"/>
      <c r="U398" s="407"/>
      <c r="V398" s="405"/>
      <c r="W398" s="405"/>
      <c r="X398" s="406"/>
      <c r="Y398" s="379"/>
      <c r="Z398" s="379"/>
    </row>
    <row r="399" spans="1:26" ht="163.19999999999999">
      <c r="A399" s="400" t="s">
        <v>1975</v>
      </c>
      <c r="B399" s="401" t="s">
        <v>1414</v>
      </c>
      <c r="C399" s="402" t="s">
        <v>1993</v>
      </c>
      <c r="D399" s="403" t="s">
        <v>404</v>
      </c>
      <c r="E399" s="402" t="s">
        <v>404</v>
      </c>
      <c r="F399" s="402" t="s">
        <v>404</v>
      </c>
      <c r="G399" s="402" t="s">
        <v>404</v>
      </c>
      <c r="H399" s="402">
        <v>35</v>
      </c>
      <c r="I399" s="402">
        <v>35</v>
      </c>
      <c r="J399" s="402" t="s">
        <v>1963</v>
      </c>
      <c r="K399" s="402">
        <v>40</v>
      </c>
      <c r="L399" s="418" t="s">
        <v>1145</v>
      </c>
      <c r="M399" s="403" t="s">
        <v>420</v>
      </c>
      <c r="N399" s="402" t="s">
        <v>1112</v>
      </c>
      <c r="O399" s="401"/>
      <c r="P399" s="405" t="s">
        <v>1994</v>
      </c>
      <c r="Q399" s="405" t="s">
        <v>1995</v>
      </c>
      <c r="R399" s="407"/>
      <c r="S399" s="405"/>
      <c r="T399" s="405"/>
      <c r="U399" s="407"/>
      <c r="V399" s="408"/>
      <c r="W399" s="405"/>
      <c r="X399" s="406"/>
      <c r="Y399" s="379"/>
      <c r="Z399" s="379"/>
    </row>
    <row r="400" spans="1:26" ht="234.6">
      <c r="A400" s="400" t="s">
        <v>1975</v>
      </c>
      <c r="B400" s="401" t="s">
        <v>1996</v>
      </c>
      <c r="C400" s="402" t="s">
        <v>1997</v>
      </c>
      <c r="D400" s="403">
        <v>68</v>
      </c>
      <c r="E400" s="402">
        <v>68</v>
      </c>
      <c r="F400" s="402">
        <v>60</v>
      </c>
      <c r="G400" s="402">
        <v>30</v>
      </c>
      <c r="H400" s="402">
        <v>12</v>
      </c>
      <c r="I400" s="402">
        <v>12</v>
      </c>
      <c r="J400" s="402" t="s">
        <v>1963</v>
      </c>
      <c r="K400" s="402">
        <v>40</v>
      </c>
      <c r="L400" s="418" t="s">
        <v>1124</v>
      </c>
      <c r="M400" s="403" t="s">
        <v>419</v>
      </c>
      <c r="N400" s="402" t="s">
        <v>1112</v>
      </c>
      <c r="O400" s="401"/>
      <c r="P400" s="405" t="s">
        <v>1998</v>
      </c>
      <c r="Q400" s="405" t="s">
        <v>1999</v>
      </c>
      <c r="R400" s="405" t="s">
        <v>2000</v>
      </c>
      <c r="S400" s="405"/>
      <c r="T400" s="405"/>
      <c r="U400" s="407"/>
      <c r="V400" s="408"/>
      <c r="W400" s="405"/>
      <c r="X400" s="406"/>
      <c r="Y400" s="379"/>
      <c r="Z400" s="379"/>
    </row>
    <row r="401" spans="1:26" ht="20.399999999999999">
      <c r="A401" s="400" t="s">
        <v>2001</v>
      </c>
      <c r="B401" s="401" t="s">
        <v>2002</v>
      </c>
      <c r="C401" s="402" t="s">
        <v>1846</v>
      </c>
      <c r="D401" s="403">
        <v>75</v>
      </c>
      <c r="E401" s="402">
        <v>70</v>
      </c>
      <c r="F401" s="402">
        <v>60</v>
      </c>
      <c r="G401" s="402">
        <v>30</v>
      </c>
      <c r="H401" s="402">
        <v>6</v>
      </c>
      <c r="I401" s="402">
        <v>2</v>
      </c>
      <c r="J401" s="402" t="s">
        <v>1137</v>
      </c>
      <c r="K401" s="402">
        <v>35</v>
      </c>
      <c r="L401" s="402" t="s">
        <v>1138</v>
      </c>
      <c r="M401" s="403" t="s">
        <v>419</v>
      </c>
      <c r="N401" s="402" t="s">
        <v>1139</v>
      </c>
      <c r="O401" s="401"/>
      <c r="P401" s="405"/>
      <c r="Q401" s="405"/>
      <c r="R401" s="407"/>
      <c r="S401" s="405"/>
      <c r="T401" s="405"/>
      <c r="U401" s="407"/>
      <c r="V401" s="408"/>
      <c r="W401" s="405"/>
      <c r="X401" s="406"/>
      <c r="Y401" s="379"/>
      <c r="Z401" s="379"/>
    </row>
    <row r="402" spans="1:26" ht="163.19999999999999">
      <c r="A402" s="400" t="s">
        <v>2001</v>
      </c>
      <c r="B402" s="401" t="s">
        <v>2003</v>
      </c>
      <c r="C402" s="402" t="s">
        <v>2004</v>
      </c>
      <c r="D402" s="403" t="s">
        <v>404</v>
      </c>
      <c r="E402" s="402">
        <v>68</v>
      </c>
      <c r="F402" s="402" t="s">
        <v>404</v>
      </c>
      <c r="G402" s="402" t="s">
        <v>404</v>
      </c>
      <c r="H402" s="402">
        <v>10</v>
      </c>
      <c r="I402" s="402" t="s">
        <v>404</v>
      </c>
      <c r="J402" s="402" t="s">
        <v>1123</v>
      </c>
      <c r="K402" s="402">
        <v>35</v>
      </c>
      <c r="L402" s="402" t="s">
        <v>1124</v>
      </c>
      <c r="M402" s="403" t="s">
        <v>420</v>
      </c>
      <c r="N402" s="402" t="s">
        <v>1112</v>
      </c>
      <c r="O402" s="401"/>
      <c r="P402" s="405" t="s">
        <v>2005</v>
      </c>
      <c r="Q402" s="405" t="s">
        <v>2006</v>
      </c>
      <c r="R402" s="407"/>
      <c r="S402" s="405"/>
      <c r="T402" s="405"/>
      <c r="U402" s="407"/>
      <c r="V402" s="408"/>
      <c r="W402" s="405"/>
      <c r="X402" s="406"/>
      <c r="Y402" s="379"/>
      <c r="Z402" s="379"/>
    </row>
    <row r="403" spans="1:26" ht="20.399999999999999">
      <c r="A403" s="400" t="s">
        <v>2001</v>
      </c>
      <c r="B403" s="401" t="s">
        <v>1779</v>
      </c>
      <c r="C403" s="402" t="s">
        <v>2007</v>
      </c>
      <c r="D403" s="403">
        <v>75</v>
      </c>
      <c r="E403" s="402">
        <v>70</v>
      </c>
      <c r="F403" s="402">
        <v>60</v>
      </c>
      <c r="G403" s="402">
        <v>30</v>
      </c>
      <c r="H403" s="402">
        <v>6</v>
      </c>
      <c r="I403" s="402">
        <v>2</v>
      </c>
      <c r="J403" s="402" t="s">
        <v>1137</v>
      </c>
      <c r="K403" s="402">
        <v>40</v>
      </c>
      <c r="L403" s="402" t="s">
        <v>1138</v>
      </c>
      <c r="M403" s="403" t="s">
        <v>419</v>
      </c>
      <c r="N403" s="402" t="s">
        <v>1139</v>
      </c>
      <c r="O403" s="401"/>
      <c r="P403" s="405"/>
      <c r="Q403" s="405"/>
      <c r="R403" s="407"/>
      <c r="S403" s="405"/>
      <c r="T403" s="405"/>
      <c r="U403" s="407"/>
      <c r="V403" s="408"/>
      <c r="W403" s="405"/>
      <c r="X403" s="406"/>
      <c r="Y403" s="379"/>
      <c r="Z403" s="379"/>
    </row>
    <row r="404" spans="1:26" ht="51">
      <c r="A404" s="400" t="s">
        <v>2001</v>
      </c>
      <c r="B404" s="401" t="s">
        <v>2008</v>
      </c>
      <c r="C404" s="402" t="s">
        <v>2009</v>
      </c>
      <c r="D404" s="403" t="s">
        <v>404</v>
      </c>
      <c r="E404" s="402" t="s">
        <v>404</v>
      </c>
      <c r="F404" s="402" t="s">
        <v>404</v>
      </c>
      <c r="G404" s="402" t="s">
        <v>404</v>
      </c>
      <c r="H404" s="402" t="s">
        <v>404</v>
      </c>
      <c r="I404" s="402" t="s">
        <v>404</v>
      </c>
      <c r="J404" s="402" t="s">
        <v>404</v>
      </c>
      <c r="K404" s="402" t="s">
        <v>404</v>
      </c>
      <c r="L404" s="402" t="s">
        <v>404</v>
      </c>
      <c r="M404" s="403" t="s">
        <v>420</v>
      </c>
      <c r="N404" s="402" t="s">
        <v>404</v>
      </c>
      <c r="O404" s="401"/>
      <c r="P404" s="405" t="s">
        <v>2010</v>
      </c>
      <c r="Q404" s="405"/>
      <c r="R404" s="407"/>
      <c r="S404" s="405"/>
      <c r="T404" s="405"/>
      <c r="U404" s="407"/>
      <c r="V404" s="408"/>
      <c r="W404" s="405"/>
      <c r="X404" s="406"/>
      <c r="Y404" s="379"/>
      <c r="Z404" s="379"/>
    </row>
    <row r="405" spans="1:26" ht="20.399999999999999">
      <c r="A405" s="400" t="s">
        <v>2001</v>
      </c>
      <c r="B405" s="401" t="s">
        <v>1418</v>
      </c>
      <c r="C405" s="402" t="s">
        <v>1580</v>
      </c>
      <c r="D405" s="403">
        <v>75</v>
      </c>
      <c r="E405" s="402">
        <v>70</v>
      </c>
      <c r="F405" s="402">
        <v>60</v>
      </c>
      <c r="G405" s="402">
        <v>30</v>
      </c>
      <c r="H405" s="402">
        <v>4</v>
      </c>
      <c r="I405" s="402">
        <v>2</v>
      </c>
      <c r="J405" s="402" t="s">
        <v>1137</v>
      </c>
      <c r="K405" s="402">
        <v>40</v>
      </c>
      <c r="L405" s="418" t="s">
        <v>1145</v>
      </c>
      <c r="M405" s="403" t="s">
        <v>419</v>
      </c>
      <c r="N405" s="402" t="s">
        <v>1139</v>
      </c>
      <c r="O405" s="401"/>
      <c r="P405" s="405"/>
      <c r="Q405" s="405"/>
      <c r="R405" s="407"/>
      <c r="S405" s="405"/>
      <c r="T405" s="405"/>
      <c r="U405" s="407"/>
      <c r="V405" s="408"/>
      <c r="W405" s="405"/>
      <c r="X405" s="406"/>
      <c r="Y405" s="379"/>
      <c r="Z405" s="379"/>
    </row>
    <row r="406" spans="1:26" ht="71.400000000000006">
      <c r="A406" s="400" t="s">
        <v>2001</v>
      </c>
      <c r="B406" s="401" t="s">
        <v>2011</v>
      </c>
      <c r="C406" s="402" t="s">
        <v>1301</v>
      </c>
      <c r="D406" s="403">
        <v>75</v>
      </c>
      <c r="E406" s="402">
        <v>70</v>
      </c>
      <c r="F406" s="402">
        <v>60</v>
      </c>
      <c r="G406" s="402">
        <v>30</v>
      </c>
      <c r="H406" s="402">
        <v>6</v>
      </c>
      <c r="I406" s="402">
        <v>2</v>
      </c>
      <c r="J406" s="402" t="s">
        <v>1137</v>
      </c>
      <c r="K406" s="402">
        <v>40</v>
      </c>
      <c r="L406" s="418" t="s">
        <v>1124</v>
      </c>
      <c r="M406" s="403" t="s">
        <v>419</v>
      </c>
      <c r="N406" s="402" t="s">
        <v>1139</v>
      </c>
      <c r="O406" s="401"/>
      <c r="P406" s="405" t="s">
        <v>2012</v>
      </c>
      <c r="Q406" s="405"/>
      <c r="R406" s="407"/>
      <c r="S406" s="405"/>
      <c r="T406" s="405"/>
      <c r="U406" s="407"/>
      <c r="V406" s="408"/>
      <c r="W406" s="405"/>
      <c r="X406" s="406"/>
      <c r="Y406" s="379"/>
      <c r="Z406" s="379"/>
    </row>
    <row r="407" spans="1:26" ht="20.399999999999999">
      <c r="A407" s="400" t="s">
        <v>2001</v>
      </c>
      <c r="B407" s="401" t="s">
        <v>2013</v>
      </c>
      <c r="C407" s="402" t="s">
        <v>2014</v>
      </c>
      <c r="D407" s="403">
        <v>75</v>
      </c>
      <c r="E407" s="402">
        <v>70</v>
      </c>
      <c r="F407" s="402">
        <v>60</v>
      </c>
      <c r="G407" s="402">
        <v>30</v>
      </c>
      <c r="H407" s="402">
        <v>4</v>
      </c>
      <c r="I407" s="402">
        <v>2</v>
      </c>
      <c r="J407" s="402" t="s">
        <v>1137</v>
      </c>
      <c r="K407" s="402">
        <v>40</v>
      </c>
      <c r="L407" s="402" t="s">
        <v>1138</v>
      </c>
      <c r="M407" s="403" t="s">
        <v>419</v>
      </c>
      <c r="N407" s="402" t="s">
        <v>1139</v>
      </c>
      <c r="O407" s="401"/>
      <c r="P407" s="405"/>
      <c r="Q407" s="405"/>
      <c r="R407" s="407"/>
      <c r="S407" s="405"/>
      <c r="T407" s="405"/>
      <c r="U407" s="407"/>
      <c r="V407" s="408"/>
      <c r="W407" s="405"/>
      <c r="X407" s="406"/>
      <c r="Y407" s="379"/>
      <c r="Z407" s="379"/>
    </row>
    <row r="408" spans="1:26" ht="69.75" customHeight="1">
      <c r="A408" s="400" t="s">
        <v>2001</v>
      </c>
      <c r="B408" s="401" t="s">
        <v>1304</v>
      </c>
      <c r="C408" s="402" t="s">
        <v>2015</v>
      </c>
      <c r="D408" s="403">
        <v>75</v>
      </c>
      <c r="E408" s="402">
        <v>70</v>
      </c>
      <c r="F408" s="402">
        <v>60</v>
      </c>
      <c r="G408" s="402" t="s">
        <v>404</v>
      </c>
      <c r="H408" s="402">
        <v>6</v>
      </c>
      <c r="I408" s="402">
        <v>2</v>
      </c>
      <c r="J408" s="402" t="s">
        <v>1137</v>
      </c>
      <c r="K408" s="402">
        <v>40</v>
      </c>
      <c r="L408" s="418" t="s">
        <v>1124</v>
      </c>
      <c r="M408" s="403" t="s">
        <v>419</v>
      </c>
      <c r="N408" s="402" t="s">
        <v>1112</v>
      </c>
      <c r="O408" s="401"/>
      <c r="P408" s="405" t="s">
        <v>2016</v>
      </c>
      <c r="Q408" s="405"/>
      <c r="R408" s="407"/>
      <c r="S408" s="405"/>
      <c r="T408" s="405"/>
      <c r="U408" s="407"/>
      <c r="V408" s="408"/>
      <c r="W408" s="405"/>
      <c r="X408" s="406"/>
      <c r="Y408" s="379"/>
      <c r="Z408" s="379"/>
    </row>
    <row r="409" spans="1:26" ht="20.399999999999999">
      <c r="A409" s="400" t="s">
        <v>2001</v>
      </c>
      <c r="B409" s="401" t="s">
        <v>2017</v>
      </c>
      <c r="C409" s="402" t="s">
        <v>2018</v>
      </c>
      <c r="D409" s="403">
        <v>75</v>
      </c>
      <c r="E409" s="402">
        <v>70</v>
      </c>
      <c r="F409" s="402">
        <v>60</v>
      </c>
      <c r="G409" s="402">
        <v>30</v>
      </c>
      <c r="H409" s="402">
        <v>4</v>
      </c>
      <c r="I409" s="402">
        <v>2</v>
      </c>
      <c r="J409" s="402" t="s">
        <v>1137</v>
      </c>
      <c r="K409" s="402">
        <v>40</v>
      </c>
      <c r="L409" s="402" t="s">
        <v>1138</v>
      </c>
      <c r="M409" s="403" t="s">
        <v>419</v>
      </c>
      <c r="N409" s="402" t="s">
        <v>1139</v>
      </c>
      <c r="O409" s="401"/>
      <c r="P409" s="405"/>
      <c r="Q409" s="405"/>
      <c r="R409" s="407"/>
      <c r="S409" s="405"/>
      <c r="T409" s="405"/>
      <c r="U409" s="407"/>
      <c r="V409" s="408"/>
      <c r="W409" s="405"/>
      <c r="X409" s="406"/>
      <c r="Y409" s="379"/>
      <c r="Z409" s="379"/>
    </row>
    <row r="410" spans="1:26" ht="20.399999999999999">
      <c r="A410" s="400" t="s">
        <v>2001</v>
      </c>
      <c r="B410" s="401" t="s">
        <v>2019</v>
      </c>
      <c r="C410" s="402" t="s">
        <v>2020</v>
      </c>
      <c r="D410" s="403">
        <v>75</v>
      </c>
      <c r="E410" s="402">
        <v>70</v>
      </c>
      <c r="F410" s="402">
        <v>60</v>
      </c>
      <c r="G410" s="402">
        <v>30</v>
      </c>
      <c r="H410" s="402">
        <v>4</v>
      </c>
      <c r="I410" s="402">
        <v>2</v>
      </c>
      <c r="J410" s="402" t="s">
        <v>1137</v>
      </c>
      <c r="K410" s="402">
        <v>40</v>
      </c>
      <c r="L410" s="402" t="s">
        <v>1138</v>
      </c>
      <c r="M410" s="403" t="s">
        <v>419</v>
      </c>
      <c r="N410" s="402" t="s">
        <v>1139</v>
      </c>
      <c r="O410" s="401"/>
      <c r="P410" s="405"/>
      <c r="Q410" s="405"/>
      <c r="R410" s="407"/>
      <c r="S410" s="405"/>
      <c r="T410" s="405"/>
      <c r="U410" s="407"/>
      <c r="V410" s="408"/>
      <c r="W410" s="405"/>
      <c r="X410" s="406"/>
      <c r="Y410" s="379"/>
      <c r="Z410" s="379"/>
    </row>
    <row r="411" spans="1:26" ht="61.2">
      <c r="A411" s="400" t="s">
        <v>2001</v>
      </c>
      <c r="B411" s="401" t="s">
        <v>2021</v>
      </c>
      <c r="C411" s="402" t="s">
        <v>2022</v>
      </c>
      <c r="D411" s="403">
        <v>78</v>
      </c>
      <c r="E411" s="402">
        <v>70</v>
      </c>
      <c r="F411" s="402">
        <v>60</v>
      </c>
      <c r="G411" s="402" t="s">
        <v>404</v>
      </c>
      <c r="H411" s="402">
        <v>10</v>
      </c>
      <c r="I411" s="402">
        <v>2</v>
      </c>
      <c r="J411" s="402" t="s">
        <v>1123</v>
      </c>
      <c r="K411" s="402">
        <v>45</v>
      </c>
      <c r="L411" s="402" t="s">
        <v>1124</v>
      </c>
      <c r="M411" s="403" t="s">
        <v>419</v>
      </c>
      <c r="N411" s="402" t="s">
        <v>1112</v>
      </c>
      <c r="O411" s="401"/>
      <c r="P411" s="405" t="s">
        <v>2023</v>
      </c>
      <c r="Q411" s="405"/>
      <c r="R411" s="407"/>
      <c r="S411" s="405"/>
      <c r="T411" s="405"/>
      <c r="U411" s="407"/>
      <c r="V411" s="408"/>
      <c r="W411" s="405"/>
      <c r="X411" s="406"/>
      <c r="Y411" s="379"/>
      <c r="Z411" s="379"/>
    </row>
    <row r="412" spans="1:26" ht="61.2">
      <c r="A412" s="400" t="s">
        <v>2001</v>
      </c>
      <c r="B412" s="401" t="s">
        <v>2024</v>
      </c>
      <c r="C412" s="402" t="s">
        <v>2025</v>
      </c>
      <c r="D412" s="403">
        <v>75</v>
      </c>
      <c r="E412" s="402">
        <v>70</v>
      </c>
      <c r="F412" s="402">
        <v>60</v>
      </c>
      <c r="G412" s="402">
        <v>30</v>
      </c>
      <c r="H412" s="402">
        <v>6</v>
      </c>
      <c r="I412" s="402">
        <v>2</v>
      </c>
      <c r="J412" s="402" t="s">
        <v>1137</v>
      </c>
      <c r="K412" s="402">
        <v>35</v>
      </c>
      <c r="L412" s="402" t="s">
        <v>1124</v>
      </c>
      <c r="M412" s="403" t="s">
        <v>419</v>
      </c>
      <c r="N412" s="402" t="s">
        <v>1139</v>
      </c>
      <c r="O412" s="401"/>
      <c r="P412" s="405" t="s">
        <v>2026</v>
      </c>
      <c r="Q412" s="405"/>
      <c r="R412" s="407"/>
      <c r="S412" s="405"/>
      <c r="T412" s="405"/>
      <c r="U412" s="407"/>
      <c r="V412" s="408"/>
      <c r="W412" s="405"/>
      <c r="X412" s="406"/>
      <c r="Y412" s="379"/>
      <c r="Z412" s="379"/>
    </row>
    <row r="413" spans="1:26" ht="20.399999999999999">
      <c r="A413" s="400" t="s">
        <v>2001</v>
      </c>
      <c r="B413" s="401" t="s">
        <v>2027</v>
      </c>
      <c r="C413" s="402" t="s">
        <v>2028</v>
      </c>
      <c r="D413" s="403">
        <v>75</v>
      </c>
      <c r="E413" s="402">
        <v>70</v>
      </c>
      <c r="F413" s="402">
        <v>60</v>
      </c>
      <c r="G413" s="402">
        <v>30</v>
      </c>
      <c r="H413" s="402">
        <v>6</v>
      </c>
      <c r="I413" s="402">
        <v>2</v>
      </c>
      <c r="J413" s="402" t="s">
        <v>1137</v>
      </c>
      <c r="K413" s="402">
        <v>35</v>
      </c>
      <c r="L413" s="402" t="s">
        <v>1138</v>
      </c>
      <c r="M413" s="403" t="s">
        <v>419</v>
      </c>
      <c r="N413" s="402" t="s">
        <v>1139</v>
      </c>
      <c r="O413" s="401"/>
      <c r="P413" s="405"/>
      <c r="Q413" s="405"/>
      <c r="R413" s="407"/>
      <c r="S413" s="405"/>
      <c r="T413" s="405"/>
      <c r="U413" s="407"/>
      <c r="V413" s="408"/>
      <c r="W413" s="405"/>
      <c r="X413" s="406"/>
      <c r="Y413" s="379"/>
      <c r="Z413" s="379"/>
    </row>
    <row r="414" spans="1:26" ht="20.399999999999999">
      <c r="A414" s="400" t="s">
        <v>2001</v>
      </c>
      <c r="B414" s="401" t="s">
        <v>2029</v>
      </c>
      <c r="C414" s="402" t="s">
        <v>1784</v>
      </c>
      <c r="D414" s="403">
        <v>75</v>
      </c>
      <c r="E414" s="402">
        <v>70</v>
      </c>
      <c r="F414" s="402">
        <v>60</v>
      </c>
      <c r="G414" s="402">
        <v>30</v>
      </c>
      <c r="H414" s="402">
        <v>6</v>
      </c>
      <c r="I414" s="402">
        <v>2</v>
      </c>
      <c r="J414" s="402" t="s">
        <v>1137</v>
      </c>
      <c r="K414" s="402">
        <v>35</v>
      </c>
      <c r="L414" s="402" t="s">
        <v>1138</v>
      </c>
      <c r="M414" s="403" t="s">
        <v>419</v>
      </c>
      <c r="N414" s="402" t="s">
        <v>1139</v>
      </c>
      <c r="O414" s="401"/>
      <c r="P414" s="405"/>
      <c r="Q414" s="405"/>
      <c r="R414" s="407"/>
      <c r="S414" s="405"/>
      <c r="T414" s="405"/>
      <c r="U414" s="407"/>
      <c r="V414" s="408"/>
      <c r="W414" s="405"/>
      <c r="X414" s="406"/>
      <c r="Y414" s="379"/>
      <c r="Z414" s="379"/>
    </row>
    <row r="415" spans="1:26" ht="40.799999999999997">
      <c r="A415" s="400" t="s">
        <v>2001</v>
      </c>
      <c r="B415" s="401" t="s">
        <v>2030</v>
      </c>
      <c r="C415" s="402" t="s">
        <v>2031</v>
      </c>
      <c r="D415" s="403">
        <v>75</v>
      </c>
      <c r="E415" s="402">
        <v>70</v>
      </c>
      <c r="F415" s="402">
        <v>60</v>
      </c>
      <c r="G415" s="402">
        <v>30</v>
      </c>
      <c r="H415" s="402">
        <v>6</v>
      </c>
      <c r="I415" s="402">
        <v>2</v>
      </c>
      <c r="J415" s="402" t="s">
        <v>1137</v>
      </c>
      <c r="K415" s="402">
        <v>35</v>
      </c>
      <c r="L415" s="402" t="s">
        <v>1138</v>
      </c>
      <c r="M415" s="403" t="s">
        <v>419</v>
      </c>
      <c r="N415" s="402" t="s">
        <v>1139</v>
      </c>
      <c r="O415" s="401"/>
      <c r="P415" s="405" t="s">
        <v>2032</v>
      </c>
      <c r="Q415" s="405"/>
      <c r="R415" s="407"/>
      <c r="S415" s="405"/>
      <c r="T415" s="405"/>
      <c r="U415" s="407"/>
      <c r="V415" s="408"/>
      <c r="W415" s="405"/>
      <c r="X415" s="406"/>
      <c r="Y415" s="379"/>
      <c r="Z415" s="379"/>
    </row>
    <row r="416" spans="1:26" ht="20.399999999999999">
      <c r="A416" s="400" t="s">
        <v>2001</v>
      </c>
      <c r="B416" s="401" t="s">
        <v>2033</v>
      </c>
      <c r="C416" s="402" t="s">
        <v>2034</v>
      </c>
      <c r="D416" s="403">
        <v>75</v>
      </c>
      <c r="E416" s="402">
        <v>70</v>
      </c>
      <c r="F416" s="402">
        <v>60</v>
      </c>
      <c r="G416" s="402">
        <v>30</v>
      </c>
      <c r="H416" s="402">
        <v>6</v>
      </c>
      <c r="I416" s="402">
        <v>2</v>
      </c>
      <c r="J416" s="402" t="s">
        <v>1137</v>
      </c>
      <c r="K416" s="402">
        <v>35</v>
      </c>
      <c r="L416" s="402" t="s">
        <v>1138</v>
      </c>
      <c r="M416" s="403" t="s">
        <v>419</v>
      </c>
      <c r="N416" s="402" t="s">
        <v>1139</v>
      </c>
      <c r="O416" s="401"/>
      <c r="P416" s="405"/>
      <c r="Q416" s="405"/>
      <c r="R416" s="407"/>
      <c r="S416" s="405"/>
      <c r="T416" s="405"/>
      <c r="U416" s="407"/>
      <c r="V416" s="408"/>
      <c r="W416" s="405"/>
      <c r="X416" s="406"/>
      <c r="Y416" s="379"/>
      <c r="Z416" s="379"/>
    </row>
    <row r="417" spans="1:26" ht="20.399999999999999">
      <c r="A417" s="400" t="s">
        <v>2001</v>
      </c>
      <c r="B417" s="401" t="s">
        <v>2035</v>
      </c>
      <c r="C417" s="402" t="s">
        <v>2036</v>
      </c>
      <c r="D417" s="403">
        <v>75</v>
      </c>
      <c r="E417" s="402">
        <v>70</v>
      </c>
      <c r="F417" s="402">
        <v>60</v>
      </c>
      <c r="G417" s="402">
        <v>30</v>
      </c>
      <c r="H417" s="402">
        <v>4</v>
      </c>
      <c r="I417" s="402">
        <v>2</v>
      </c>
      <c r="J417" s="402" t="s">
        <v>1137</v>
      </c>
      <c r="K417" s="402">
        <v>40</v>
      </c>
      <c r="L417" s="402" t="s">
        <v>1138</v>
      </c>
      <c r="M417" s="403" t="s">
        <v>419</v>
      </c>
      <c r="N417" s="402" t="s">
        <v>1139</v>
      </c>
      <c r="O417" s="401"/>
      <c r="P417" s="405"/>
      <c r="Q417" s="405"/>
      <c r="R417" s="407"/>
      <c r="S417" s="405"/>
      <c r="T417" s="405"/>
      <c r="U417" s="407"/>
      <c r="V417" s="408"/>
      <c r="W417" s="405"/>
      <c r="X417" s="406"/>
      <c r="Y417" s="379"/>
      <c r="Z417" s="379"/>
    </row>
    <row r="418" spans="1:26" ht="20.399999999999999">
      <c r="A418" s="400" t="s">
        <v>2001</v>
      </c>
      <c r="B418" s="401" t="s">
        <v>2037</v>
      </c>
      <c r="C418" s="402" t="s">
        <v>2038</v>
      </c>
      <c r="D418" s="403">
        <v>75</v>
      </c>
      <c r="E418" s="402">
        <v>70</v>
      </c>
      <c r="F418" s="402">
        <v>60</v>
      </c>
      <c r="G418" s="402">
        <v>30</v>
      </c>
      <c r="H418" s="402">
        <v>4</v>
      </c>
      <c r="I418" s="402">
        <v>2</v>
      </c>
      <c r="J418" s="402" t="s">
        <v>1137</v>
      </c>
      <c r="K418" s="402">
        <v>40</v>
      </c>
      <c r="L418" s="402" t="s">
        <v>1138</v>
      </c>
      <c r="M418" s="403" t="s">
        <v>419</v>
      </c>
      <c r="N418" s="402" t="s">
        <v>1139</v>
      </c>
      <c r="O418" s="401"/>
      <c r="P418" s="405"/>
      <c r="Q418" s="405"/>
      <c r="R418" s="407"/>
      <c r="S418" s="405"/>
      <c r="T418" s="405"/>
      <c r="U418" s="407"/>
      <c r="V418" s="408"/>
      <c r="W418" s="405"/>
      <c r="X418" s="406"/>
      <c r="Y418" s="379"/>
      <c r="Z418" s="379"/>
    </row>
    <row r="419" spans="1:26" ht="40.799999999999997">
      <c r="A419" s="400" t="s">
        <v>2001</v>
      </c>
      <c r="B419" s="401" t="s">
        <v>2039</v>
      </c>
      <c r="C419" s="402" t="s">
        <v>2040</v>
      </c>
      <c r="D419" s="403">
        <v>75</v>
      </c>
      <c r="E419" s="402">
        <v>70</v>
      </c>
      <c r="F419" s="402">
        <v>60</v>
      </c>
      <c r="G419" s="402">
        <v>30</v>
      </c>
      <c r="H419" s="402">
        <v>4</v>
      </c>
      <c r="I419" s="402">
        <v>2</v>
      </c>
      <c r="J419" s="402" t="s">
        <v>1123</v>
      </c>
      <c r="K419" s="402">
        <v>45</v>
      </c>
      <c r="L419" s="418" t="s">
        <v>1124</v>
      </c>
      <c r="M419" s="403" t="s">
        <v>419</v>
      </c>
      <c r="N419" s="402" t="s">
        <v>1112</v>
      </c>
      <c r="O419" s="401"/>
      <c r="P419" s="405" t="s">
        <v>2041</v>
      </c>
      <c r="Q419" s="405"/>
      <c r="R419" s="407"/>
      <c r="S419" s="405"/>
      <c r="T419" s="405"/>
      <c r="U419" s="407"/>
      <c r="V419" s="408"/>
      <c r="W419" s="405"/>
      <c r="X419" s="406"/>
      <c r="Y419" s="379"/>
      <c r="Z419" s="379"/>
    </row>
    <row r="420" spans="1:26" ht="71.400000000000006">
      <c r="A420" s="400" t="s">
        <v>2001</v>
      </c>
      <c r="B420" s="401" t="s">
        <v>1311</v>
      </c>
      <c r="C420" s="402" t="s">
        <v>2042</v>
      </c>
      <c r="D420" s="403">
        <v>75</v>
      </c>
      <c r="E420" s="402">
        <v>70</v>
      </c>
      <c r="F420" s="402">
        <v>60</v>
      </c>
      <c r="G420" s="402">
        <v>30</v>
      </c>
      <c r="H420" s="402">
        <v>4</v>
      </c>
      <c r="I420" s="402">
        <v>2</v>
      </c>
      <c r="J420" s="402" t="s">
        <v>1137</v>
      </c>
      <c r="K420" s="402">
        <v>40</v>
      </c>
      <c r="L420" s="402" t="s">
        <v>1138</v>
      </c>
      <c r="M420" s="403" t="s">
        <v>420</v>
      </c>
      <c r="N420" s="402" t="s">
        <v>1139</v>
      </c>
      <c r="O420" s="401"/>
      <c r="P420" s="405" t="s">
        <v>2043</v>
      </c>
      <c r="Q420" s="405"/>
      <c r="R420" s="407"/>
      <c r="S420" s="405"/>
      <c r="T420" s="405"/>
      <c r="U420" s="407"/>
      <c r="V420" s="408"/>
      <c r="W420" s="405"/>
      <c r="X420" s="406"/>
      <c r="Y420" s="379"/>
      <c r="Z420" s="379"/>
    </row>
    <row r="421" spans="1:26" ht="20.399999999999999">
      <c r="A421" s="400" t="s">
        <v>2001</v>
      </c>
      <c r="B421" s="401" t="s">
        <v>1889</v>
      </c>
      <c r="C421" s="402" t="s">
        <v>2044</v>
      </c>
      <c r="D421" s="403">
        <v>75</v>
      </c>
      <c r="E421" s="402">
        <v>70</v>
      </c>
      <c r="F421" s="402">
        <v>60</v>
      </c>
      <c r="G421" s="402">
        <v>30</v>
      </c>
      <c r="H421" s="402">
        <v>4</v>
      </c>
      <c r="I421" s="402">
        <v>2</v>
      </c>
      <c r="J421" s="402" t="s">
        <v>1137</v>
      </c>
      <c r="K421" s="402">
        <v>40</v>
      </c>
      <c r="L421" s="402" t="s">
        <v>1138</v>
      </c>
      <c r="M421" s="403" t="s">
        <v>419</v>
      </c>
      <c r="N421" s="402" t="s">
        <v>1139</v>
      </c>
      <c r="O421" s="401"/>
      <c r="P421" s="405"/>
      <c r="Q421" s="405"/>
      <c r="R421" s="407"/>
      <c r="S421" s="405"/>
      <c r="T421" s="405"/>
      <c r="U421" s="407"/>
      <c r="V421" s="408"/>
      <c r="W421" s="405"/>
      <c r="X421" s="406"/>
      <c r="Y421" s="379"/>
      <c r="Z421" s="379"/>
    </row>
    <row r="422" spans="1:26" ht="20.399999999999999">
      <c r="A422" s="400" t="s">
        <v>2001</v>
      </c>
      <c r="B422" s="401" t="s">
        <v>2045</v>
      </c>
      <c r="C422" s="402" t="s">
        <v>2046</v>
      </c>
      <c r="D422" s="403">
        <v>75</v>
      </c>
      <c r="E422" s="402">
        <v>70</v>
      </c>
      <c r="F422" s="402">
        <v>60</v>
      </c>
      <c r="G422" s="402">
        <v>30</v>
      </c>
      <c r="H422" s="402">
        <v>4</v>
      </c>
      <c r="I422" s="402">
        <v>2</v>
      </c>
      <c r="J422" s="402" t="s">
        <v>1137</v>
      </c>
      <c r="K422" s="402">
        <v>40</v>
      </c>
      <c r="L422" s="402" t="s">
        <v>1138</v>
      </c>
      <c r="M422" s="403" t="s">
        <v>419</v>
      </c>
      <c r="N422" s="402" t="s">
        <v>1139</v>
      </c>
      <c r="O422" s="401"/>
      <c r="P422" s="405"/>
      <c r="Q422" s="405"/>
      <c r="R422" s="407"/>
      <c r="S422" s="405"/>
      <c r="T422" s="405"/>
      <c r="U422" s="407"/>
      <c r="V422" s="408"/>
      <c r="W422" s="405"/>
      <c r="X422" s="406"/>
      <c r="Y422" s="379"/>
      <c r="Z422" s="379"/>
    </row>
    <row r="423" spans="1:26" ht="20.399999999999999">
      <c r="A423" s="400" t="s">
        <v>2047</v>
      </c>
      <c r="B423" s="401" t="s">
        <v>2048</v>
      </c>
      <c r="C423" s="402" t="s">
        <v>1321</v>
      </c>
      <c r="D423" s="403">
        <v>75</v>
      </c>
      <c r="E423" s="402">
        <v>70</v>
      </c>
      <c r="F423" s="402">
        <v>60</v>
      </c>
      <c r="G423" s="402">
        <v>30</v>
      </c>
      <c r="H423" s="402">
        <v>6</v>
      </c>
      <c r="I423" s="402">
        <v>2</v>
      </c>
      <c r="J423" s="402" t="s">
        <v>1137</v>
      </c>
      <c r="K423" s="402">
        <v>35</v>
      </c>
      <c r="L423" s="402" t="s">
        <v>1138</v>
      </c>
      <c r="M423" s="403" t="s">
        <v>419</v>
      </c>
      <c r="N423" s="402" t="s">
        <v>1139</v>
      </c>
      <c r="O423" s="401"/>
      <c r="P423" s="405"/>
      <c r="Q423" s="405"/>
      <c r="R423" s="407"/>
      <c r="S423" s="405"/>
      <c r="T423" s="405"/>
      <c r="U423" s="407"/>
      <c r="V423" s="408"/>
      <c r="W423" s="405"/>
      <c r="X423" s="406"/>
      <c r="Y423" s="379"/>
      <c r="Z423" s="379"/>
    </row>
    <row r="424" spans="1:26" ht="163.19999999999999">
      <c r="A424" s="400" t="s">
        <v>2047</v>
      </c>
      <c r="B424" s="401" t="s">
        <v>1523</v>
      </c>
      <c r="C424" s="402" t="s">
        <v>2049</v>
      </c>
      <c r="D424" s="403" t="s">
        <v>404</v>
      </c>
      <c r="E424" s="402">
        <v>70</v>
      </c>
      <c r="F424" s="402" t="s">
        <v>404</v>
      </c>
      <c r="G424" s="402" t="s">
        <v>404</v>
      </c>
      <c r="H424" s="402">
        <v>10</v>
      </c>
      <c r="I424" s="402" t="s">
        <v>404</v>
      </c>
      <c r="J424" s="402" t="s">
        <v>1123</v>
      </c>
      <c r="K424" s="402">
        <v>40</v>
      </c>
      <c r="L424" s="402" t="s">
        <v>1124</v>
      </c>
      <c r="M424" s="403" t="s">
        <v>420</v>
      </c>
      <c r="N424" s="402" t="s">
        <v>1112</v>
      </c>
      <c r="O424" s="401"/>
      <c r="P424" s="405" t="s">
        <v>2005</v>
      </c>
      <c r="Q424" s="405" t="s">
        <v>2006</v>
      </c>
      <c r="R424" s="407"/>
      <c r="S424" s="405"/>
      <c r="T424" s="405"/>
      <c r="U424" s="407"/>
      <c r="V424" s="408"/>
      <c r="W424" s="405"/>
      <c r="X424" s="406"/>
      <c r="Y424" s="379"/>
      <c r="Z424" s="379"/>
    </row>
    <row r="425" spans="1:26" ht="20.399999999999999">
      <c r="A425" s="400" t="s">
        <v>2047</v>
      </c>
      <c r="B425" s="401" t="s">
        <v>2050</v>
      </c>
      <c r="C425" s="402" t="s">
        <v>2051</v>
      </c>
      <c r="D425" s="403">
        <v>75</v>
      </c>
      <c r="E425" s="402">
        <v>70</v>
      </c>
      <c r="F425" s="402">
        <v>60</v>
      </c>
      <c r="G425" s="402">
        <v>30</v>
      </c>
      <c r="H425" s="402">
        <v>4</v>
      </c>
      <c r="I425" s="402">
        <v>2</v>
      </c>
      <c r="J425" s="402" t="s">
        <v>1137</v>
      </c>
      <c r="K425" s="402">
        <v>40</v>
      </c>
      <c r="L425" s="402" t="s">
        <v>1138</v>
      </c>
      <c r="M425" s="403" t="s">
        <v>419</v>
      </c>
      <c r="N425" s="402" t="s">
        <v>1139</v>
      </c>
      <c r="O425" s="401"/>
      <c r="P425" s="405"/>
      <c r="Q425" s="405"/>
      <c r="R425" s="407"/>
      <c r="S425" s="405"/>
      <c r="T425" s="405"/>
      <c r="U425" s="407"/>
      <c r="V425" s="408"/>
      <c r="W425" s="405"/>
      <c r="X425" s="406"/>
      <c r="Y425" s="379"/>
      <c r="Z425" s="379"/>
    </row>
    <row r="426" spans="1:26" ht="20.399999999999999">
      <c r="A426" s="400" t="s">
        <v>2047</v>
      </c>
      <c r="B426" s="401" t="s">
        <v>2052</v>
      </c>
      <c r="C426" s="402" t="s">
        <v>2053</v>
      </c>
      <c r="D426" s="403">
        <v>75</v>
      </c>
      <c r="E426" s="402">
        <v>70</v>
      </c>
      <c r="F426" s="402">
        <v>60</v>
      </c>
      <c r="G426" s="402">
        <v>30</v>
      </c>
      <c r="H426" s="402">
        <v>4</v>
      </c>
      <c r="I426" s="402">
        <v>2</v>
      </c>
      <c r="J426" s="402" t="s">
        <v>1137</v>
      </c>
      <c r="K426" s="402">
        <v>35</v>
      </c>
      <c r="L426" s="402" t="s">
        <v>1138</v>
      </c>
      <c r="M426" s="403" t="s">
        <v>419</v>
      </c>
      <c r="N426" s="402" t="s">
        <v>1139</v>
      </c>
      <c r="O426" s="401"/>
      <c r="P426" s="405"/>
      <c r="Q426" s="405"/>
      <c r="R426" s="407"/>
      <c r="S426" s="405"/>
      <c r="T426" s="405"/>
      <c r="U426" s="407"/>
      <c r="V426" s="408"/>
      <c r="W426" s="405"/>
      <c r="X426" s="406"/>
      <c r="Y426" s="379"/>
      <c r="Z426" s="379"/>
    </row>
    <row r="427" spans="1:26" ht="163.19999999999999">
      <c r="A427" s="400" t="s">
        <v>2047</v>
      </c>
      <c r="B427" s="401" t="s">
        <v>2054</v>
      </c>
      <c r="C427" s="402" t="s">
        <v>2055</v>
      </c>
      <c r="D427" s="403" t="s">
        <v>404</v>
      </c>
      <c r="E427" s="402">
        <v>70</v>
      </c>
      <c r="F427" s="402" t="s">
        <v>404</v>
      </c>
      <c r="G427" s="402" t="s">
        <v>404</v>
      </c>
      <c r="H427" s="402">
        <v>10</v>
      </c>
      <c r="I427" s="402" t="s">
        <v>404</v>
      </c>
      <c r="J427" s="402" t="s">
        <v>1123</v>
      </c>
      <c r="K427" s="402">
        <v>40</v>
      </c>
      <c r="L427" s="402" t="s">
        <v>1124</v>
      </c>
      <c r="M427" s="403" t="s">
        <v>420</v>
      </c>
      <c r="N427" s="402" t="s">
        <v>1112</v>
      </c>
      <c r="O427" s="401"/>
      <c r="P427" s="405" t="s">
        <v>2056</v>
      </c>
      <c r="Q427" s="405" t="s">
        <v>2006</v>
      </c>
      <c r="R427" s="407"/>
      <c r="S427" s="405"/>
      <c r="T427" s="405"/>
      <c r="U427" s="407"/>
      <c r="V427" s="408"/>
      <c r="W427" s="405"/>
      <c r="X427" s="406"/>
      <c r="Y427" s="379"/>
      <c r="Z427" s="379"/>
    </row>
    <row r="428" spans="1:26" ht="112.2">
      <c r="A428" s="400" t="s">
        <v>2047</v>
      </c>
      <c r="B428" s="401" t="s">
        <v>2057</v>
      </c>
      <c r="C428" s="402" t="s">
        <v>2058</v>
      </c>
      <c r="D428" s="403">
        <v>75</v>
      </c>
      <c r="E428" s="402">
        <v>70</v>
      </c>
      <c r="F428" s="402">
        <v>60</v>
      </c>
      <c r="G428" s="402">
        <v>30</v>
      </c>
      <c r="H428" s="402">
        <v>4</v>
      </c>
      <c r="I428" s="402">
        <v>2</v>
      </c>
      <c r="J428" s="402" t="s">
        <v>1123</v>
      </c>
      <c r="K428" s="402">
        <v>40</v>
      </c>
      <c r="L428" s="402" t="s">
        <v>1124</v>
      </c>
      <c r="M428" s="403" t="s">
        <v>1096</v>
      </c>
      <c r="N428" s="402" t="s">
        <v>1139</v>
      </c>
      <c r="O428" s="401"/>
      <c r="P428" s="405" t="s">
        <v>2059</v>
      </c>
      <c r="Q428" s="405" t="s">
        <v>2060</v>
      </c>
      <c r="R428" s="407"/>
      <c r="S428" s="405"/>
      <c r="T428" s="405"/>
      <c r="U428" s="407"/>
      <c r="V428" s="408"/>
      <c r="W428" s="405"/>
      <c r="X428" s="406"/>
      <c r="Y428" s="379"/>
      <c r="Z428" s="379"/>
    </row>
    <row r="429" spans="1:26" ht="20.399999999999999">
      <c r="A429" s="400" t="s">
        <v>2047</v>
      </c>
      <c r="B429" s="401" t="s">
        <v>2013</v>
      </c>
      <c r="C429" s="402" t="s">
        <v>2061</v>
      </c>
      <c r="D429" s="403" t="s">
        <v>404</v>
      </c>
      <c r="E429" s="402" t="s">
        <v>404</v>
      </c>
      <c r="F429" s="402" t="s">
        <v>404</v>
      </c>
      <c r="G429" s="402" t="s">
        <v>404</v>
      </c>
      <c r="H429" s="402" t="s">
        <v>404</v>
      </c>
      <c r="I429" s="402" t="s">
        <v>404</v>
      </c>
      <c r="J429" s="402" t="s">
        <v>404</v>
      </c>
      <c r="K429" s="402" t="s">
        <v>404</v>
      </c>
      <c r="L429" s="402" t="s">
        <v>404</v>
      </c>
      <c r="M429" s="403" t="s">
        <v>404</v>
      </c>
      <c r="N429" s="402" t="s">
        <v>404</v>
      </c>
      <c r="O429" s="401"/>
      <c r="P429" s="405"/>
      <c r="Q429" s="405"/>
      <c r="R429" s="407"/>
      <c r="S429" s="405"/>
      <c r="T429" s="405"/>
      <c r="U429" s="407"/>
      <c r="V429" s="408"/>
      <c r="W429" s="405"/>
      <c r="X429" s="406"/>
      <c r="Y429" s="379"/>
      <c r="Z429" s="379"/>
    </row>
    <row r="430" spans="1:26" ht="20.399999999999999">
      <c r="A430" s="400" t="s">
        <v>2047</v>
      </c>
      <c r="B430" s="401" t="s">
        <v>2062</v>
      </c>
      <c r="C430" s="402" t="s">
        <v>2063</v>
      </c>
      <c r="D430" s="403">
        <v>75</v>
      </c>
      <c r="E430" s="402">
        <v>70</v>
      </c>
      <c r="F430" s="402">
        <v>6</v>
      </c>
      <c r="G430" s="402">
        <v>30</v>
      </c>
      <c r="H430" s="402">
        <v>6</v>
      </c>
      <c r="I430" s="402">
        <v>2</v>
      </c>
      <c r="J430" s="402" t="s">
        <v>1137</v>
      </c>
      <c r="K430" s="402">
        <v>40</v>
      </c>
      <c r="L430" s="418" t="s">
        <v>1138</v>
      </c>
      <c r="M430" s="403" t="s">
        <v>419</v>
      </c>
      <c r="N430" s="402" t="s">
        <v>1139</v>
      </c>
      <c r="O430" s="401"/>
      <c r="P430" s="405"/>
      <c r="Q430" s="405"/>
      <c r="R430" s="407"/>
      <c r="S430" s="405"/>
      <c r="T430" s="405"/>
      <c r="U430" s="407"/>
      <c r="V430" s="408"/>
      <c r="W430" s="405"/>
      <c r="X430" s="406"/>
      <c r="Y430" s="379"/>
      <c r="Z430" s="379"/>
    </row>
    <row r="431" spans="1:26" ht="20.399999999999999">
      <c r="A431" s="400" t="s">
        <v>2047</v>
      </c>
      <c r="B431" s="401" t="s">
        <v>1418</v>
      </c>
      <c r="C431" s="402" t="s">
        <v>1580</v>
      </c>
      <c r="D431" s="403">
        <v>75</v>
      </c>
      <c r="E431" s="402">
        <v>70</v>
      </c>
      <c r="F431" s="402">
        <v>60</v>
      </c>
      <c r="G431" s="402">
        <v>30</v>
      </c>
      <c r="H431" s="402">
        <v>4</v>
      </c>
      <c r="I431" s="402">
        <v>2</v>
      </c>
      <c r="J431" s="402" t="s">
        <v>1137</v>
      </c>
      <c r="K431" s="402">
        <v>40</v>
      </c>
      <c r="L431" s="418" t="s">
        <v>1145</v>
      </c>
      <c r="M431" s="403" t="s">
        <v>419</v>
      </c>
      <c r="N431" s="402" t="s">
        <v>1139</v>
      </c>
      <c r="O431" s="401"/>
      <c r="P431" s="405"/>
      <c r="Q431" s="405"/>
      <c r="R431" s="407"/>
      <c r="S431" s="405"/>
      <c r="T431" s="405"/>
      <c r="U431" s="407"/>
      <c r="V431" s="408"/>
      <c r="W431" s="405"/>
      <c r="X431" s="406"/>
      <c r="Y431" s="379"/>
      <c r="Z431" s="379"/>
    </row>
    <row r="432" spans="1:26" ht="51">
      <c r="A432" s="400" t="s">
        <v>2047</v>
      </c>
      <c r="B432" s="401" t="s">
        <v>2008</v>
      </c>
      <c r="C432" s="402" t="s">
        <v>2009</v>
      </c>
      <c r="D432" s="403" t="s">
        <v>404</v>
      </c>
      <c r="E432" s="402" t="s">
        <v>404</v>
      </c>
      <c r="F432" s="402" t="s">
        <v>404</v>
      </c>
      <c r="G432" s="402" t="s">
        <v>404</v>
      </c>
      <c r="H432" s="402" t="s">
        <v>404</v>
      </c>
      <c r="I432" s="402" t="s">
        <v>404</v>
      </c>
      <c r="J432" s="402" t="s">
        <v>404</v>
      </c>
      <c r="K432" s="402" t="s">
        <v>404</v>
      </c>
      <c r="L432" s="402" t="s">
        <v>404</v>
      </c>
      <c r="M432" s="403" t="s">
        <v>420</v>
      </c>
      <c r="N432" s="402" t="s">
        <v>404</v>
      </c>
      <c r="O432" s="401"/>
      <c r="P432" s="405" t="s">
        <v>2010</v>
      </c>
      <c r="Q432" s="405"/>
      <c r="R432" s="407"/>
      <c r="S432" s="405"/>
      <c r="T432" s="405"/>
      <c r="U432" s="407"/>
      <c r="V432" s="408"/>
      <c r="W432" s="405"/>
      <c r="X432" s="406"/>
      <c r="Y432" s="379"/>
      <c r="Z432" s="379"/>
    </row>
    <row r="433" spans="1:26" ht="20.399999999999999">
      <c r="A433" s="400" t="s">
        <v>2047</v>
      </c>
      <c r="B433" s="401" t="s">
        <v>1516</v>
      </c>
      <c r="C433" s="402" t="s">
        <v>2064</v>
      </c>
      <c r="D433" s="403">
        <v>75</v>
      </c>
      <c r="E433" s="402">
        <v>70</v>
      </c>
      <c r="F433" s="402">
        <v>60</v>
      </c>
      <c r="G433" s="402">
        <v>30</v>
      </c>
      <c r="H433" s="402">
        <v>6</v>
      </c>
      <c r="I433" s="402">
        <v>2</v>
      </c>
      <c r="J433" s="402" t="s">
        <v>1137</v>
      </c>
      <c r="K433" s="402">
        <v>40</v>
      </c>
      <c r="L433" s="418" t="s">
        <v>1124</v>
      </c>
      <c r="M433" s="403" t="s">
        <v>419</v>
      </c>
      <c r="N433" s="402" t="s">
        <v>1139</v>
      </c>
      <c r="O433" s="401"/>
      <c r="P433" s="405"/>
      <c r="Q433" s="405"/>
      <c r="R433" s="407"/>
      <c r="S433" s="405"/>
      <c r="T433" s="405"/>
      <c r="U433" s="407"/>
      <c r="V433" s="408"/>
      <c r="W433" s="405"/>
      <c r="X433" s="406"/>
      <c r="Y433" s="379"/>
      <c r="Z433" s="379"/>
    </row>
    <row r="434" spans="1:26" ht="91.8">
      <c r="A434" s="400" t="s">
        <v>2047</v>
      </c>
      <c r="B434" s="401" t="s">
        <v>2011</v>
      </c>
      <c r="C434" s="402" t="s">
        <v>2065</v>
      </c>
      <c r="D434" s="403">
        <v>75</v>
      </c>
      <c r="E434" s="402">
        <v>70</v>
      </c>
      <c r="F434" s="402">
        <v>60</v>
      </c>
      <c r="G434" s="402">
        <v>30</v>
      </c>
      <c r="H434" s="402">
        <v>6</v>
      </c>
      <c r="I434" s="402">
        <v>2</v>
      </c>
      <c r="J434" s="402" t="s">
        <v>1137</v>
      </c>
      <c r="K434" s="402">
        <v>40</v>
      </c>
      <c r="L434" s="418" t="s">
        <v>1124</v>
      </c>
      <c r="M434" s="403" t="s">
        <v>419</v>
      </c>
      <c r="N434" s="402" t="s">
        <v>1139</v>
      </c>
      <c r="O434" s="401"/>
      <c r="P434" s="405" t="s">
        <v>2066</v>
      </c>
      <c r="Q434" s="405"/>
      <c r="R434" s="407"/>
      <c r="S434" s="405"/>
      <c r="T434" s="405"/>
      <c r="U434" s="407"/>
      <c r="V434" s="408"/>
      <c r="W434" s="405"/>
      <c r="X434" s="406"/>
      <c r="Y434" s="379"/>
      <c r="Z434" s="379"/>
    </row>
    <row r="435" spans="1:26" ht="71.400000000000006">
      <c r="A435" s="400" t="s">
        <v>2047</v>
      </c>
      <c r="B435" s="401" t="s">
        <v>2067</v>
      </c>
      <c r="C435" s="402" t="s">
        <v>2068</v>
      </c>
      <c r="D435" s="403">
        <v>75</v>
      </c>
      <c r="E435" s="402">
        <v>70</v>
      </c>
      <c r="F435" s="402">
        <v>60</v>
      </c>
      <c r="G435" s="402" t="s">
        <v>404</v>
      </c>
      <c r="H435" s="402">
        <v>6</v>
      </c>
      <c r="I435" s="402">
        <v>2</v>
      </c>
      <c r="J435" s="402" t="s">
        <v>1123</v>
      </c>
      <c r="K435" s="402">
        <v>40</v>
      </c>
      <c r="L435" s="418" t="s">
        <v>1124</v>
      </c>
      <c r="M435" s="403" t="s">
        <v>419</v>
      </c>
      <c r="N435" s="402" t="s">
        <v>1112</v>
      </c>
      <c r="O435" s="401"/>
      <c r="P435" s="405" t="s">
        <v>2069</v>
      </c>
      <c r="Q435" s="405"/>
      <c r="R435" s="407"/>
      <c r="S435" s="405"/>
      <c r="T435" s="405"/>
      <c r="U435" s="407"/>
      <c r="V435" s="408"/>
      <c r="W435" s="405"/>
      <c r="X435" s="406"/>
      <c r="Y435" s="379"/>
      <c r="Z435" s="379"/>
    </row>
    <row r="436" spans="1:26" ht="61.2">
      <c r="A436" s="400" t="s">
        <v>2047</v>
      </c>
      <c r="B436" s="401" t="s">
        <v>2070</v>
      </c>
      <c r="C436" s="402" t="s">
        <v>2025</v>
      </c>
      <c r="D436" s="403">
        <v>75</v>
      </c>
      <c r="E436" s="402">
        <v>70</v>
      </c>
      <c r="F436" s="402">
        <v>60</v>
      </c>
      <c r="G436" s="402">
        <v>30</v>
      </c>
      <c r="H436" s="402">
        <v>6</v>
      </c>
      <c r="I436" s="402">
        <v>2</v>
      </c>
      <c r="J436" s="402" t="s">
        <v>1123</v>
      </c>
      <c r="K436" s="402">
        <v>35</v>
      </c>
      <c r="L436" s="402" t="s">
        <v>1124</v>
      </c>
      <c r="M436" s="403" t="s">
        <v>419</v>
      </c>
      <c r="N436" s="402" t="s">
        <v>1139</v>
      </c>
      <c r="O436" s="401"/>
      <c r="P436" s="405" t="s">
        <v>2026</v>
      </c>
      <c r="Q436" s="405"/>
      <c r="R436" s="407"/>
      <c r="S436" s="405"/>
      <c r="T436" s="405"/>
      <c r="U436" s="407"/>
      <c r="V436" s="408"/>
      <c r="W436" s="405"/>
      <c r="X436" s="406"/>
      <c r="Y436" s="379"/>
      <c r="Z436" s="379"/>
    </row>
    <row r="437" spans="1:26" ht="20.399999999999999">
      <c r="A437" s="400" t="s">
        <v>2047</v>
      </c>
      <c r="B437" s="401" t="s">
        <v>2071</v>
      </c>
      <c r="C437" s="402" t="s">
        <v>2038</v>
      </c>
      <c r="D437" s="403">
        <v>75</v>
      </c>
      <c r="E437" s="402">
        <v>70</v>
      </c>
      <c r="F437" s="402">
        <v>60</v>
      </c>
      <c r="G437" s="402">
        <v>30</v>
      </c>
      <c r="H437" s="402">
        <v>4</v>
      </c>
      <c r="I437" s="402">
        <v>2</v>
      </c>
      <c r="J437" s="402" t="s">
        <v>1137</v>
      </c>
      <c r="K437" s="402">
        <v>40</v>
      </c>
      <c r="L437" s="418" t="s">
        <v>1138</v>
      </c>
      <c r="M437" s="403" t="s">
        <v>419</v>
      </c>
      <c r="N437" s="402" t="s">
        <v>1139</v>
      </c>
      <c r="O437" s="401"/>
      <c r="P437" s="405"/>
      <c r="Q437" s="405"/>
      <c r="R437" s="407"/>
      <c r="S437" s="405"/>
      <c r="T437" s="405"/>
      <c r="U437" s="407"/>
      <c r="V437" s="408"/>
      <c r="W437" s="405"/>
      <c r="X437" s="406"/>
      <c r="Y437" s="379"/>
      <c r="Z437" s="379"/>
    </row>
    <row r="438" spans="1:26" ht="51">
      <c r="A438" s="400" t="s">
        <v>2047</v>
      </c>
      <c r="B438" s="401" t="s">
        <v>1311</v>
      </c>
      <c r="C438" s="402" t="s">
        <v>2072</v>
      </c>
      <c r="D438" s="403" t="s">
        <v>404</v>
      </c>
      <c r="E438" s="402" t="s">
        <v>404</v>
      </c>
      <c r="F438" s="402" t="s">
        <v>404</v>
      </c>
      <c r="G438" s="402" t="s">
        <v>404</v>
      </c>
      <c r="H438" s="402" t="s">
        <v>404</v>
      </c>
      <c r="I438" s="402" t="s">
        <v>404</v>
      </c>
      <c r="J438" s="402" t="s">
        <v>1137</v>
      </c>
      <c r="K438" s="402">
        <v>45</v>
      </c>
      <c r="L438" s="418" t="s">
        <v>1138</v>
      </c>
      <c r="M438" s="403" t="s">
        <v>420</v>
      </c>
      <c r="N438" s="402" t="s">
        <v>1139</v>
      </c>
      <c r="O438" s="401"/>
      <c r="P438" s="405" t="s">
        <v>2073</v>
      </c>
      <c r="Q438" s="405"/>
      <c r="R438" s="407"/>
      <c r="S438" s="405"/>
      <c r="T438" s="405"/>
      <c r="U438" s="407"/>
      <c r="V438" s="408"/>
      <c r="W438" s="405"/>
      <c r="X438" s="406"/>
      <c r="Y438" s="379"/>
      <c r="Z438" s="379"/>
    </row>
    <row r="439" spans="1:26" ht="51">
      <c r="A439" s="400" t="s">
        <v>2074</v>
      </c>
      <c r="B439" s="401" t="s">
        <v>2075</v>
      </c>
      <c r="C439" s="402" t="s">
        <v>2076</v>
      </c>
      <c r="D439" s="403">
        <v>75</v>
      </c>
      <c r="E439" s="402">
        <v>70</v>
      </c>
      <c r="F439" s="402">
        <v>60</v>
      </c>
      <c r="G439" s="402">
        <v>30</v>
      </c>
      <c r="H439" s="402">
        <v>6</v>
      </c>
      <c r="I439" s="402">
        <v>2</v>
      </c>
      <c r="J439" s="402" t="s">
        <v>1137</v>
      </c>
      <c r="K439" s="402">
        <v>35</v>
      </c>
      <c r="L439" s="418" t="s">
        <v>1138</v>
      </c>
      <c r="M439" s="403" t="s">
        <v>1096</v>
      </c>
      <c r="N439" s="402" t="s">
        <v>1139</v>
      </c>
      <c r="O439" s="401"/>
      <c r="P439" s="405" t="s">
        <v>1262</v>
      </c>
      <c r="Q439" s="405"/>
      <c r="R439" s="407"/>
      <c r="S439" s="405"/>
      <c r="T439" s="405"/>
      <c r="U439" s="407"/>
      <c r="V439" s="408"/>
      <c r="W439" s="405"/>
      <c r="X439" s="406"/>
      <c r="Y439" s="379"/>
      <c r="Z439" s="379"/>
    </row>
    <row r="440" spans="1:26" ht="51">
      <c r="A440" s="400" t="s">
        <v>2074</v>
      </c>
      <c r="B440" s="401" t="s">
        <v>2077</v>
      </c>
      <c r="C440" s="402" t="s">
        <v>1535</v>
      </c>
      <c r="D440" s="403">
        <v>75</v>
      </c>
      <c r="E440" s="402">
        <v>70</v>
      </c>
      <c r="F440" s="402">
        <v>60</v>
      </c>
      <c r="G440" s="402">
        <v>30</v>
      </c>
      <c r="H440" s="402">
        <v>6</v>
      </c>
      <c r="I440" s="402">
        <v>2</v>
      </c>
      <c r="J440" s="402" t="s">
        <v>1137</v>
      </c>
      <c r="K440" s="402">
        <v>35</v>
      </c>
      <c r="L440" s="418" t="s">
        <v>1138</v>
      </c>
      <c r="M440" s="403" t="s">
        <v>1096</v>
      </c>
      <c r="N440" s="402" t="s">
        <v>1139</v>
      </c>
      <c r="O440" s="401"/>
      <c r="P440" s="405" t="s">
        <v>1262</v>
      </c>
      <c r="Q440" s="405"/>
      <c r="R440" s="407"/>
      <c r="S440" s="405"/>
      <c r="T440" s="405"/>
      <c r="U440" s="407"/>
      <c r="V440" s="408"/>
      <c r="W440" s="405"/>
      <c r="X440" s="406"/>
      <c r="Y440" s="379"/>
      <c r="Z440" s="379"/>
    </row>
    <row r="441" spans="1:26" ht="51">
      <c r="A441" s="400" t="s">
        <v>2074</v>
      </c>
      <c r="B441" s="401" t="s">
        <v>2078</v>
      </c>
      <c r="C441" s="402" t="s">
        <v>2079</v>
      </c>
      <c r="D441" s="403">
        <v>75</v>
      </c>
      <c r="E441" s="402">
        <v>70</v>
      </c>
      <c r="F441" s="402">
        <v>60</v>
      </c>
      <c r="G441" s="402">
        <v>30</v>
      </c>
      <c r="H441" s="402">
        <v>6</v>
      </c>
      <c r="I441" s="402">
        <v>2</v>
      </c>
      <c r="J441" s="402" t="s">
        <v>1137</v>
      </c>
      <c r="K441" s="402">
        <v>35</v>
      </c>
      <c r="L441" s="418" t="s">
        <v>1138</v>
      </c>
      <c r="M441" s="403" t="s">
        <v>1096</v>
      </c>
      <c r="N441" s="402" t="s">
        <v>1139</v>
      </c>
      <c r="O441" s="401"/>
      <c r="P441" s="405" t="s">
        <v>1262</v>
      </c>
      <c r="Q441" s="405"/>
      <c r="R441" s="407"/>
      <c r="S441" s="405"/>
      <c r="T441" s="405"/>
      <c r="U441" s="407"/>
      <c r="V441" s="408"/>
      <c r="W441" s="405"/>
      <c r="X441" s="406"/>
      <c r="Y441" s="379"/>
      <c r="Z441" s="379"/>
    </row>
    <row r="442" spans="1:26">
      <c r="A442" s="400" t="s">
        <v>2074</v>
      </c>
      <c r="B442" s="401" t="s">
        <v>2080</v>
      </c>
      <c r="C442" s="402" t="s">
        <v>2081</v>
      </c>
      <c r="D442" s="403">
        <v>75</v>
      </c>
      <c r="E442" s="402">
        <v>70</v>
      </c>
      <c r="F442" s="402">
        <v>60</v>
      </c>
      <c r="G442" s="402">
        <v>30</v>
      </c>
      <c r="H442" s="402">
        <v>6</v>
      </c>
      <c r="I442" s="402">
        <v>2</v>
      </c>
      <c r="J442" s="402" t="s">
        <v>1137</v>
      </c>
      <c r="K442" s="402">
        <v>35</v>
      </c>
      <c r="L442" s="418" t="s">
        <v>1145</v>
      </c>
      <c r="M442" s="403" t="s">
        <v>419</v>
      </c>
      <c r="N442" s="402" t="s">
        <v>1139</v>
      </c>
      <c r="O442" s="401"/>
      <c r="P442" s="405"/>
      <c r="Q442" s="405"/>
      <c r="R442" s="407"/>
      <c r="S442" s="405"/>
      <c r="T442" s="405"/>
      <c r="U442" s="407"/>
      <c r="V442" s="408"/>
      <c r="W442" s="405"/>
      <c r="X442" s="406"/>
      <c r="Y442" s="379"/>
      <c r="Z442" s="379"/>
    </row>
    <row r="443" spans="1:26">
      <c r="A443" s="400" t="s">
        <v>2074</v>
      </c>
      <c r="B443" s="401" t="s">
        <v>2082</v>
      </c>
      <c r="C443" s="402" t="s">
        <v>2083</v>
      </c>
      <c r="D443" s="403">
        <v>70</v>
      </c>
      <c r="E443" s="402">
        <v>65</v>
      </c>
      <c r="F443" s="402">
        <v>60</v>
      </c>
      <c r="G443" s="402">
        <v>30</v>
      </c>
      <c r="H443" s="402">
        <v>4</v>
      </c>
      <c r="I443" s="402">
        <v>2</v>
      </c>
      <c r="J443" s="402" t="s">
        <v>1137</v>
      </c>
      <c r="K443" s="402">
        <v>40</v>
      </c>
      <c r="L443" s="418" t="s">
        <v>1138</v>
      </c>
      <c r="M443" s="403" t="s">
        <v>419</v>
      </c>
      <c r="N443" s="402" t="s">
        <v>1139</v>
      </c>
      <c r="O443" s="401"/>
      <c r="P443" s="405"/>
      <c r="Q443" s="405"/>
      <c r="R443" s="407"/>
      <c r="S443" s="405"/>
      <c r="T443" s="405"/>
      <c r="U443" s="407"/>
      <c r="V443" s="408"/>
      <c r="W443" s="405"/>
      <c r="X443" s="406"/>
      <c r="Y443" s="379"/>
      <c r="Z443" s="379"/>
    </row>
    <row r="444" spans="1:26">
      <c r="A444" s="400" t="s">
        <v>2074</v>
      </c>
      <c r="B444" s="401" t="s">
        <v>2084</v>
      </c>
      <c r="C444" s="402" t="s">
        <v>2085</v>
      </c>
      <c r="D444" s="403">
        <v>75</v>
      </c>
      <c r="E444" s="402">
        <v>70</v>
      </c>
      <c r="F444" s="402">
        <v>60</v>
      </c>
      <c r="G444" s="402">
        <v>30</v>
      </c>
      <c r="H444" s="402">
        <v>6</v>
      </c>
      <c r="I444" s="402">
        <v>2</v>
      </c>
      <c r="J444" s="402" t="s">
        <v>1137</v>
      </c>
      <c r="K444" s="402">
        <v>35</v>
      </c>
      <c r="L444" s="418" t="s">
        <v>1138</v>
      </c>
      <c r="M444" s="403" t="s">
        <v>419</v>
      </c>
      <c r="N444" s="402" t="s">
        <v>1139</v>
      </c>
      <c r="O444" s="401"/>
      <c r="P444" s="405"/>
      <c r="Q444" s="405"/>
      <c r="R444" s="407"/>
      <c r="S444" s="405"/>
      <c r="T444" s="405"/>
      <c r="U444" s="407"/>
      <c r="V444" s="408"/>
      <c r="W444" s="405"/>
      <c r="X444" s="406"/>
      <c r="Y444" s="379"/>
      <c r="Z444" s="379"/>
    </row>
    <row r="445" spans="1:26">
      <c r="A445" s="400" t="s">
        <v>2074</v>
      </c>
      <c r="B445" s="401" t="s">
        <v>2013</v>
      </c>
      <c r="C445" s="402" t="s">
        <v>2086</v>
      </c>
      <c r="D445" s="403">
        <v>75</v>
      </c>
      <c r="E445" s="402">
        <v>70</v>
      </c>
      <c r="F445" s="402">
        <v>60</v>
      </c>
      <c r="G445" s="402">
        <v>30</v>
      </c>
      <c r="H445" s="402">
        <v>4</v>
      </c>
      <c r="I445" s="402" t="s">
        <v>404</v>
      </c>
      <c r="J445" s="402" t="s">
        <v>1137</v>
      </c>
      <c r="K445" s="402">
        <v>40</v>
      </c>
      <c r="L445" s="402" t="s">
        <v>1145</v>
      </c>
      <c r="M445" s="403" t="s">
        <v>419</v>
      </c>
      <c r="N445" s="402" t="s">
        <v>1139</v>
      </c>
      <c r="O445" s="401"/>
      <c r="P445" s="405"/>
      <c r="Q445" s="405"/>
      <c r="R445" s="407"/>
      <c r="S445" s="405"/>
      <c r="T445" s="405"/>
      <c r="U445" s="407"/>
      <c r="V445" s="408"/>
      <c r="W445" s="405"/>
      <c r="X445" s="406"/>
      <c r="Y445" s="379"/>
      <c r="Z445" s="379"/>
    </row>
    <row r="446" spans="1:26">
      <c r="A446" s="400" t="s">
        <v>2074</v>
      </c>
      <c r="B446" s="401" t="s">
        <v>2087</v>
      </c>
      <c r="C446" s="402" t="s">
        <v>2088</v>
      </c>
      <c r="D446" s="403">
        <v>75</v>
      </c>
      <c r="E446" s="402">
        <v>70</v>
      </c>
      <c r="F446" s="402">
        <v>60</v>
      </c>
      <c r="G446" s="402">
        <v>30</v>
      </c>
      <c r="H446" s="402">
        <v>6</v>
      </c>
      <c r="I446" s="402">
        <v>2</v>
      </c>
      <c r="J446" s="402" t="s">
        <v>1137</v>
      </c>
      <c r="K446" s="402">
        <v>35</v>
      </c>
      <c r="L446" s="418" t="s">
        <v>1138</v>
      </c>
      <c r="M446" s="403" t="s">
        <v>419</v>
      </c>
      <c r="N446" s="402" t="s">
        <v>1139</v>
      </c>
      <c r="O446" s="401"/>
      <c r="P446" s="405"/>
      <c r="Q446" s="405"/>
      <c r="R446" s="407"/>
      <c r="S446" s="405"/>
      <c r="T446" s="405"/>
      <c r="U446" s="407"/>
      <c r="V446" s="408"/>
      <c r="W446" s="405"/>
      <c r="X446" s="406"/>
      <c r="Y446" s="379"/>
      <c r="Z446" s="379"/>
    </row>
    <row r="447" spans="1:26" ht="61.2">
      <c r="A447" s="400" t="s">
        <v>2074</v>
      </c>
      <c r="B447" s="401" t="s">
        <v>2089</v>
      </c>
      <c r="C447" s="402" t="s">
        <v>2090</v>
      </c>
      <c r="D447" s="403">
        <v>75</v>
      </c>
      <c r="E447" s="402">
        <v>70</v>
      </c>
      <c r="F447" s="402">
        <v>60</v>
      </c>
      <c r="G447" s="402">
        <v>30</v>
      </c>
      <c r="H447" s="402">
        <v>6</v>
      </c>
      <c r="I447" s="402">
        <v>2</v>
      </c>
      <c r="J447" s="402" t="s">
        <v>1137</v>
      </c>
      <c r="K447" s="402">
        <v>35</v>
      </c>
      <c r="L447" s="402" t="s">
        <v>1124</v>
      </c>
      <c r="M447" s="403" t="s">
        <v>419</v>
      </c>
      <c r="N447" s="402" t="s">
        <v>1139</v>
      </c>
      <c r="O447" s="401"/>
      <c r="P447" s="405" t="s">
        <v>2026</v>
      </c>
      <c r="Q447" s="405"/>
      <c r="R447" s="407"/>
      <c r="S447" s="405"/>
      <c r="T447" s="405"/>
      <c r="U447" s="407"/>
      <c r="V447" s="408"/>
      <c r="W447" s="405"/>
      <c r="X447" s="406"/>
      <c r="Y447" s="379"/>
      <c r="Z447" s="379"/>
    </row>
    <row r="448" spans="1:26">
      <c r="A448" s="400" t="s">
        <v>2074</v>
      </c>
      <c r="B448" s="401" t="s">
        <v>2091</v>
      </c>
      <c r="C448" s="402" t="s">
        <v>2092</v>
      </c>
      <c r="D448" s="403">
        <v>75</v>
      </c>
      <c r="E448" s="402">
        <v>70</v>
      </c>
      <c r="F448" s="402">
        <v>60</v>
      </c>
      <c r="G448" s="402">
        <v>30</v>
      </c>
      <c r="H448" s="402">
        <v>6</v>
      </c>
      <c r="I448" s="402">
        <v>2</v>
      </c>
      <c r="J448" s="402" t="s">
        <v>1137</v>
      </c>
      <c r="K448" s="402">
        <v>35</v>
      </c>
      <c r="L448" s="418" t="s">
        <v>1138</v>
      </c>
      <c r="M448" s="403" t="s">
        <v>419</v>
      </c>
      <c r="N448" s="402" t="s">
        <v>1139</v>
      </c>
      <c r="O448" s="401"/>
      <c r="P448" s="405"/>
      <c r="Q448" s="405"/>
      <c r="R448" s="407"/>
      <c r="S448" s="405"/>
      <c r="T448" s="405"/>
      <c r="U448" s="407"/>
      <c r="V448" s="408"/>
      <c r="W448" s="405"/>
      <c r="X448" s="406"/>
      <c r="Y448" s="379"/>
      <c r="Z448" s="379"/>
    </row>
    <row r="449" spans="1:26">
      <c r="A449" s="400" t="s">
        <v>2074</v>
      </c>
      <c r="B449" s="401" t="s">
        <v>2093</v>
      </c>
      <c r="C449" s="402" t="s">
        <v>2094</v>
      </c>
      <c r="D449" s="403">
        <v>75</v>
      </c>
      <c r="E449" s="402">
        <v>70</v>
      </c>
      <c r="F449" s="402">
        <v>60</v>
      </c>
      <c r="G449" s="402">
        <v>30</v>
      </c>
      <c r="H449" s="402">
        <v>6</v>
      </c>
      <c r="I449" s="402">
        <v>2</v>
      </c>
      <c r="J449" s="402" t="s">
        <v>1137</v>
      </c>
      <c r="K449" s="402">
        <v>35</v>
      </c>
      <c r="L449" s="418" t="s">
        <v>1138</v>
      </c>
      <c r="M449" s="403" t="s">
        <v>419</v>
      </c>
      <c r="N449" s="402" t="s">
        <v>1139</v>
      </c>
      <c r="O449" s="401"/>
      <c r="P449" s="405"/>
      <c r="Q449" s="405"/>
      <c r="R449" s="407"/>
      <c r="S449" s="405"/>
      <c r="T449" s="405"/>
      <c r="U449" s="407"/>
      <c r="V449" s="408"/>
      <c r="W449" s="405"/>
      <c r="X449" s="406"/>
      <c r="Y449" s="379"/>
      <c r="Z449" s="379"/>
    </row>
    <row r="450" spans="1:26">
      <c r="A450" s="400" t="s">
        <v>2074</v>
      </c>
      <c r="B450" s="401" t="s">
        <v>2095</v>
      </c>
      <c r="C450" s="402" t="s">
        <v>2096</v>
      </c>
      <c r="D450" s="403">
        <v>75</v>
      </c>
      <c r="E450" s="402">
        <v>70</v>
      </c>
      <c r="F450" s="402">
        <v>60</v>
      </c>
      <c r="G450" s="402">
        <v>30</v>
      </c>
      <c r="H450" s="402">
        <v>6</v>
      </c>
      <c r="I450" s="402">
        <v>2</v>
      </c>
      <c r="J450" s="402" t="s">
        <v>1137</v>
      </c>
      <c r="K450" s="402">
        <v>35</v>
      </c>
      <c r="L450" s="418" t="s">
        <v>1138</v>
      </c>
      <c r="M450" s="403" t="s">
        <v>419</v>
      </c>
      <c r="N450" s="402" t="s">
        <v>1139</v>
      </c>
      <c r="O450" s="401"/>
      <c r="P450" s="405"/>
      <c r="Q450" s="405"/>
      <c r="R450" s="407"/>
      <c r="S450" s="405"/>
      <c r="T450" s="405"/>
      <c r="U450" s="407"/>
      <c r="V450" s="408"/>
      <c r="W450" s="405"/>
      <c r="X450" s="406"/>
      <c r="Y450" s="379"/>
      <c r="Z450" s="379"/>
    </row>
    <row r="451" spans="1:26">
      <c r="A451" s="400" t="s">
        <v>2074</v>
      </c>
      <c r="B451" s="401" t="s">
        <v>1245</v>
      </c>
      <c r="C451" s="402" t="s">
        <v>2097</v>
      </c>
      <c r="D451" s="403">
        <v>75</v>
      </c>
      <c r="E451" s="402">
        <v>70</v>
      </c>
      <c r="F451" s="402">
        <v>60</v>
      </c>
      <c r="G451" s="402">
        <v>30</v>
      </c>
      <c r="H451" s="402">
        <v>6</v>
      </c>
      <c r="I451" s="402">
        <v>2</v>
      </c>
      <c r="J451" s="402" t="s">
        <v>1137</v>
      </c>
      <c r="K451" s="402">
        <v>35</v>
      </c>
      <c r="L451" s="418" t="s">
        <v>1138</v>
      </c>
      <c r="M451" s="403" t="s">
        <v>419</v>
      </c>
      <c r="N451" s="402" t="s">
        <v>1139</v>
      </c>
      <c r="O451" s="401"/>
      <c r="P451" s="405"/>
      <c r="Q451" s="405"/>
      <c r="R451" s="407"/>
      <c r="S451" s="405"/>
      <c r="T451" s="405"/>
      <c r="U451" s="407"/>
      <c r="V451" s="408"/>
      <c r="W451" s="405"/>
      <c r="X451" s="406"/>
      <c r="Y451" s="379"/>
      <c r="Z451" s="379"/>
    </row>
    <row r="452" spans="1:26" ht="20.399999999999999">
      <c r="A452" s="400" t="s">
        <v>2074</v>
      </c>
      <c r="B452" s="401" t="s">
        <v>2098</v>
      </c>
      <c r="C452" s="402" t="s">
        <v>2099</v>
      </c>
      <c r="D452" s="403">
        <v>75</v>
      </c>
      <c r="E452" s="402">
        <v>70</v>
      </c>
      <c r="F452" s="402">
        <v>60</v>
      </c>
      <c r="G452" s="402">
        <v>30</v>
      </c>
      <c r="H452" s="402">
        <v>6</v>
      </c>
      <c r="I452" s="402">
        <v>2</v>
      </c>
      <c r="J452" s="402" t="s">
        <v>1137</v>
      </c>
      <c r="K452" s="402">
        <v>35</v>
      </c>
      <c r="L452" s="418" t="s">
        <v>1138</v>
      </c>
      <c r="M452" s="403" t="s">
        <v>419</v>
      </c>
      <c r="N452" s="402" t="s">
        <v>1139</v>
      </c>
      <c r="O452" s="401"/>
      <c r="P452" s="405"/>
      <c r="Q452" s="405"/>
      <c r="R452" s="407"/>
      <c r="S452" s="405"/>
      <c r="T452" s="405"/>
      <c r="U452" s="407"/>
      <c r="V452" s="408"/>
      <c r="W452" s="405"/>
      <c r="X452" s="406"/>
      <c r="Y452" s="379"/>
      <c r="Z452" s="379"/>
    </row>
    <row r="453" spans="1:26" ht="204">
      <c r="A453" s="400" t="s">
        <v>2100</v>
      </c>
      <c r="B453" s="401" t="s">
        <v>1927</v>
      </c>
      <c r="C453" s="402" t="s">
        <v>2101</v>
      </c>
      <c r="D453" s="403">
        <v>75</v>
      </c>
      <c r="E453" s="402">
        <v>70</v>
      </c>
      <c r="F453" s="402">
        <v>60</v>
      </c>
      <c r="G453" s="402">
        <v>30</v>
      </c>
      <c r="H453" s="402">
        <v>8</v>
      </c>
      <c r="I453" s="402">
        <v>2</v>
      </c>
      <c r="J453" s="402" t="s">
        <v>1137</v>
      </c>
      <c r="K453" s="402">
        <v>35</v>
      </c>
      <c r="L453" s="418" t="s">
        <v>1138</v>
      </c>
      <c r="M453" s="403" t="s">
        <v>419</v>
      </c>
      <c r="N453" s="402" t="s">
        <v>1139</v>
      </c>
      <c r="O453" s="401"/>
      <c r="P453" s="405" t="s">
        <v>2102</v>
      </c>
      <c r="Q453" s="405" t="s">
        <v>2103</v>
      </c>
      <c r="R453" s="405" t="s">
        <v>2104</v>
      </c>
      <c r="S453" s="405"/>
      <c r="T453" s="405"/>
      <c r="U453" s="407"/>
      <c r="V453" s="408"/>
      <c r="W453" s="405"/>
      <c r="X453" s="406"/>
      <c r="Y453" s="379"/>
      <c r="Z453" s="379"/>
    </row>
    <row r="454" spans="1:26" ht="204">
      <c r="A454" s="400" t="s">
        <v>2100</v>
      </c>
      <c r="B454" s="401" t="s">
        <v>2105</v>
      </c>
      <c r="C454" s="402" t="s">
        <v>2106</v>
      </c>
      <c r="D454" s="403">
        <v>75</v>
      </c>
      <c r="E454" s="402">
        <v>70</v>
      </c>
      <c r="F454" s="402">
        <v>60</v>
      </c>
      <c r="G454" s="402">
        <v>30</v>
      </c>
      <c r="H454" s="402">
        <v>8</v>
      </c>
      <c r="I454" s="402">
        <v>2</v>
      </c>
      <c r="J454" s="402" t="s">
        <v>1137</v>
      </c>
      <c r="K454" s="402">
        <v>35</v>
      </c>
      <c r="L454" s="418" t="s">
        <v>1138</v>
      </c>
      <c r="M454" s="403" t="s">
        <v>419</v>
      </c>
      <c r="N454" s="402" t="s">
        <v>1139</v>
      </c>
      <c r="O454" s="401"/>
      <c r="P454" s="405" t="s">
        <v>2102</v>
      </c>
      <c r="Q454" s="405" t="s">
        <v>2103</v>
      </c>
      <c r="R454" s="405" t="s">
        <v>2104</v>
      </c>
      <c r="S454" s="405"/>
      <c r="T454" s="405"/>
      <c r="U454" s="407"/>
      <c r="V454" s="408"/>
      <c r="W454" s="405"/>
      <c r="X454" s="406"/>
      <c r="Y454" s="379"/>
      <c r="Z454" s="379"/>
    </row>
    <row r="455" spans="1:26" ht="204">
      <c r="A455" s="400" t="s">
        <v>2100</v>
      </c>
      <c r="B455" s="401" t="s">
        <v>2107</v>
      </c>
      <c r="C455" s="402" t="s">
        <v>2108</v>
      </c>
      <c r="D455" s="403">
        <v>75</v>
      </c>
      <c r="E455" s="402">
        <v>70</v>
      </c>
      <c r="F455" s="402">
        <v>60</v>
      </c>
      <c r="G455" s="402">
        <v>30</v>
      </c>
      <c r="H455" s="402">
        <v>10</v>
      </c>
      <c r="I455" s="402">
        <v>2</v>
      </c>
      <c r="J455" s="402" t="s">
        <v>1123</v>
      </c>
      <c r="K455" s="402">
        <v>40</v>
      </c>
      <c r="L455" s="418" t="s">
        <v>1124</v>
      </c>
      <c r="M455" s="403" t="s">
        <v>419</v>
      </c>
      <c r="N455" s="402" t="s">
        <v>1139</v>
      </c>
      <c r="O455" s="401"/>
      <c r="P455" s="405" t="s">
        <v>2102</v>
      </c>
      <c r="Q455" s="405" t="s">
        <v>2103</v>
      </c>
      <c r="R455" s="405" t="s">
        <v>2104</v>
      </c>
      <c r="S455" s="405"/>
      <c r="T455" s="405"/>
      <c r="U455" s="407"/>
      <c r="V455" s="408"/>
      <c r="W455" s="405"/>
      <c r="X455" s="406"/>
      <c r="Y455" s="379"/>
      <c r="Z455" s="379"/>
    </row>
    <row r="456" spans="1:26" ht="204">
      <c r="A456" s="400" t="s">
        <v>2100</v>
      </c>
      <c r="B456" s="401" t="s">
        <v>2109</v>
      </c>
      <c r="C456" s="402" t="s">
        <v>2110</v>
      </c>
      <c r="D456" s="403">
        <v>75</v>
      </c>
      <c r="E456" s="402">
        <v>70</v>
      </c>
      <c r="F456" s="402">
        <v>60</v>
      </c>
      <c r="G456" s="402">
        <v>30</v>
      </c>
      <c r="H456" s="402">
        <v>8</v>
      </c>
      <c r="I456" s="402">
        <v>2</v>
      </c>
      <c r="J456" s="402" t="s">
        <v>1137</v>
      </c>
      <c r="K456" s="402">
        <v>35</v>
      </c>
      <c r="L456" s="418" t="s">
        <v>1138</v>
      </c>
      <c r="M456" s="403" t="s">
        <v>419</v>
      </c>
      <c r="N456" s="402" t="s">
        <v>1139</v>
      </c>
      <c r="O456" s="401"/>
      <c r="P456" s="405" t="s">
        <v>2102</v>
      </c>
      <c r="Q456" s="405" t="s">
        <v>2103</v>
      </c>
      <c r="R456" s="405" t="s">
        <v>2104</v>
      </c>
      <c r="S456" s="405"/>
      <c r="T456" s="405"/>
      <c r="U456" s="407"/>
      <c r="V456" s="408"/>
      <c r="W456" s="405"/>
      <c r="X456" s="406"/>
      <c r="Y456" s="379"/>
      <c r="Z456" s="379"/>
    </row>
    <row r="457" spans="1:26" ht="204">
      <c r="A457" s="400" t="s">
        <v>2100</v>
      </c>
      <c r="B457" s="401" t="s">
        <v>2109</v>
      </c>
      <c r="C457" s="402" t="s">
        <v>2111</v>
      </c>
      <c r="D457" s="403">
        <v>76</v>
      </c>
      <c r="E457" s="402">
        <v>70</v>
      </c>
      <c r="F457" s="402">
        <v>60</v>
      </c>
      <c r="G457" s="402">
        <v>30</v>
      </c>
      <c r="H457" s="402">
        <v>12</v>
      </c>
      <c r="I457" s="402">
        <v>2</v>
      </c>
      <c r="J457" s="402" t="s">
        <v>1123</v>
      </c>
      <c r="K457" s="402">
        <v>35</v>
      </c>
      <c r="L457" s="418" t="s">
        <v>1124</v>
      </c>
      <c r="M457" s="403" t="s">
        <v>419</v>
      </c>
      <c r="N457" s="402" t="s">
        <v>1112</v>
      </c>
      <c r="O457" s="401"/>
      <c r="P457" s="405" t="s">
        <v>2102</v>
      </c>
      <c r="Q457" s="405" t="s">
        <v>2103</v>
      </c>
      <c r="R457" s="405" t="s">
        <v>2104</v>
      </c>
      <c r="S457" s="405"/>
      <c r="T457" s="405"/>
      <c r="U457" s="407"/>
      <c r="V457" s="408"/>
      <c r="W457" s="405"/>
      <c r="X457" s="406"/>
      <c r="Y457" s="379"/>
      <c r="Z457" s="379"/>
    </row>
    <row r="458" spans="1:26" ht="204">
      <c r="A458" s="400" t="s">
        <v>2100</v>
      </c>
      <c r="B458" s="401" t="s">
        <v>2112</v>
      </c>
      <c r="C458" s="402" t="s">
        <v>2113</v>
      </c>
      <c r="D458" s="403">
        <v>76</v>
      </c>
      <c r="E458" s="402">
        <v>70</v>
      </c>
      <c r="F458" s="402">
        <v>60</v>
      </c>
      <c r="G458" s="402">
        <v>30</v>
      </c>
      <c r="H458" s="402">
        <v>12</v>
      </c>
      <c r="I458" s="402">
        <v>2</v>
      </c>
      <c r="J458" s="402" t="s">
        <v>1123</v>
      </c>
      <c r="K458" s="402">
        <v>35</v>
      </c>
      <c r="L458" s="418" t="s">
        <v>1124</v>
      </c>
      <c r="M458" s="403" t="s">
        <v>419</v>
      </c>
      <c r="N458" s="402" t="s">
        <v>1112</v>
      </c>
      <c r="O458" s="401"/>
      <c r="P458" s="405" t="s">
        <v>2102</v>
      </c>
      <c r="Q458" s="405" t="s">
        <v>2103</v>
      </c>
      <c r="R458" s="405" t="s">
        <v>2104</v>
      </c>
      <c r="S458" s="405"/>
      <c r="T458" s="405"/>
      <c r="U458" s="407"/>
      <c r="V458" s="408"/>
      <c r="W458" s="405"/>
      <c r="X458" s="406"/>
      <c r="Y458" s="379"/>
      <c r="Z458" s="379"/>
    </row>
    <row r="459" spans="1:26" ht="73.5" customHeight="1">
      <c r="A459" s="400" t="s">
        <v>2100</v>
      </c>
      <c r="B459" s="401" t="s">
        <v>2114</v>
      </c>
      <c r="C459" s="402" t="s">
        <v>2115</v>
      </c>
      <c r="D459" s="403">
        <v>75</v>
      </c>
      <c r="E459" s="402">
        <v>70</v>
      </c>
      <c r="F459" s="402">
        <v>60</v>
      </c>
      <c r="G459" s="402">
        <v>30</v>
      </c>
      <c r="H459" s="402">
        <v>4</v>
      </c>
      <c r="I459" s="402">
        <v>2</v>
      </c>
      <c r="J459" s="402" t="s">
        <v>1137</v>
      </c>
      <c r="K459" s="402">
        <v>40</v>
      </c>
      <c r="L459" s="418" t="s">
        <v>1138</v>
      </c>
      <c r="M459" s="403" t="s">
        <v>419</v>
      </c>
      <c r="N459" s="402" t="s">
        <v>1139</v>
      </c>
      <c r="O459" s="401"/>
      <c r="P459" s="405" t="s">
        <v>2102</v>
      </c>
      <c r="Q459" s="405" t="s">
        <v>2103</v>
      </c>
      <c r="R459" s="405" t="s">
        <v>2104</v>
      </c>
      <c r="S459" s="405"/>
      <c r="T459" s="405"/>
      <c r="U459" s="407"/>
      <c r="V459" s="408"/>
      <c r="W459" s="405"/>
      <c r="X459" s="406"/>
      <c r="Y459" s="379"/>
      <c r="Z459" s="379"/>
    </row>
    <row r="460" spans="1:26" ht="73.5" customHeight="1">
      <c r="A460" s="400" t="s">
        <v>2100</v>
      </c>
      <c r="B460" s="401" t="s">
        <v>2116</v>
      </c>
      <c r="C460" s="402" t="s">
        <v>2117</v>
      </c>
      <c r="D460" s="403">
        <v>75</v>
      </c>
      <c r="E460" s="402">
        <v>70</v>
      </c>
      <c r="F460" s="402">
        <v>60</v>
      </c>
      <c r="G460" s="402">
        <v>30</v>
      </c>
      <c r="H460" s="402">
        <v>4</v>
      </c>
      <c r="I460" s="402">
        <v>2</v>
      </c>
      <c r="J460" s="402" t="s">
        <v>1137</v>
      </c>
      <c r="K460" s="402">
        <v>35</v>
      </c>
      <c r="L460" s="418" t="s">
        <v>1138</v>
      </c>
      <c r="M460" s="403" t="s">
        <v>419</v>
      </c>
      <c r="N460" s="402" t="s">
        <v>1139</v>
      </c>
      <c r="O460" s="401"/>
      <c r="P460" s="405" t="s">
        <v>2102</v>
      </c>
      <c r="Q460" s="405" t="s">
        <v>2103</v>
      </c>
      <c r="R460" s="405" t="s">
        <v>2104</v>
      </c>
      <c r="S460" s="405"/>
      <c r="T460" s="405"/>
      <c r="U460" s="407"/>
      <c r="V460" s="408"/>
      <c r="W460" s="405"/>
      <c r="X460" s="406"/>
      <c r="Y460" s="379"/>
      <c r="Z460" s="379"/>
    </row>
    <row r="461" spans="1:26" ht="24.75" customHeight="1">
      <c r="A461" s="400" t="s">
        <v>2100</v>
      </c>
      <c r="B461" s="401" t="s">
        <v>1512</v>
      </c>
      <c r="C461" s="402" t="s">
        <v>2118</v>
      </c>
      <c r="D461" s="403">
        <v>75</v>
      </c>
      <c r="E461" s="402">
        <v>70</v>
      </c>
      <c r="F461" s="402">
        <v>60</v>
      </c>
      <c r="G461" s="402">
        <v>30</v>
      </c>
      <c r="H461" s="402">
        <v>6</v>
      </c>
      <c r="I461" s="402">
        <v>2</v>
      </c>
      <c r="J461" s="402" t="s">
        <v>1137</v>
      </c>
      <c r="K461" s="402">
        <v>35</v>
      </c>
      <c r="L461" s="418" t="s">
        <v>1138</v>
      </c>
      <c r="M461" s="403" t="s">
        <v>419</v>
      </c>
      <c r="N461" s="402" t="s">
        <v>1139</v>
      </c>
      <c r="O461" s="401"/>
      <c r="P461" s="405" t="s">
        <v>2102</v>
      </c>
      <c r="Q461" s="405" t="s">
        <v>2103</v>
      </c>
      <c r="R461" s="405" t="s">
        <v>2104</v>
      </c>
      <c r="S461" s="405"/>
      <c r="T461" s="405"/>
      <c r="U461" s="405"/>
      <c r="V461" s="408"/>
      <c r="W461" s="405"/>
      <c r="X461" s="406"/>
      <c r="Y461" s="379"/>
      <c r="Z461" s="379"/>
    </row>
    <row r="462" spans="1:26" ht="42.75" customHeight="1">
      <c r="A462" s="450" t="s">
        <v>2119</v>
      </c>
      <c r="B462" s="410" t="s">
        <v>2120</v>
      </c>
      <c r="C462" s="410" t="s">
        <v>2121</v>
      </c>
      <c r="D462" s="403" t="s">
        <v>404</v>
      </c>
      <c r="E462" s="402" t="s">
        <v>404</v>
      </c>
      <c r="F462" s="402" t="s">
        <v>404</v>
      </c>
      <c r="G462" s="402" t="s">
        <v>404</v>
      </c>
      <c r="H462" s="402">
        <v>6</v>
      </c>
      <c r="I462" s="402" t="s">
        <v>404</v>
      </c>
      <c r="J462" s="402" t="s">
        <v>1123</v>
      </c>
      <c r="K462" s="402">
        <v>40</v>
      </c>
      <c r="L462" s="402" t="s">
        <v>1134</v>
      </c>
      <c r="M462" s="403" t="s">
        <v>420</v>
      </c>
      <c r="N462" s="402" t="s">
        <v>1112</v>
      </c>
      <c r="O462" s="401">
        <v>6</v>
      </c>
      <c r="P462" s="405" t="s">
        <v>2122</v>
      </c>
      <c r="Q462" s="405"/>
      <c r="R462" s="407"/>
      <c r="S462" s="405"/>
      <c r="T462" s="405"/>
      <c r="U462" s="407"/>
      <c r="V462" s="451"/>
      <c r="W462" s="405"/>
      <c r="X462" s="406"/>
      <c r="Y462" s="379"/>
      <c r="Z462" s="379"/>
    </row>
    <row r="463" spans="1:26" ht="20.399999999999999">
      <c r="A463" s="450" t="s">
        <v>2119</v>
      </c>
      <c r="B463" s="410" t="s">
        <v>1132</v>
      </c>
      <c r="C463" s="410" t="s">
        <v>2123</v>
      </c>
      <c r="D463" s="403" t="s">
        <v>404</v>
      </c>
      <c r="E463" s="402" t="s">
        <v>404</v>
      </c>
      <c r="F463" s="402" t="s">
        <v>404</v>
      </c>
      <c r="G463" s="402" t="s">
        <v>404</v>
      </c>
      <c r="H463" s="402">
        <v>10</v>
      </c>
      <c r="I463" s="402" t="s">
        <v>404</v>
      </c>
      <c r="J463" s="402" t="s">
        <v>1123</v>
      </c>
      <c r="K463" s="402">
        <v>40</v>
      </c>
      <c r="L463" s="402" t="s">
        <v>1134</v>
      </c>
      <c r="M463" s="403" t="s">
        <v>420</v>
      </c>
      <c r="N463" s="402" t="s">
        <v>1112</v>
      </c>
      <c r="O463" s="411"/>
      <c r="P463" s="405"/>
      <c r="Q463" s="405"/>
      <c r="R463" s="407"/>
      <c r="S463" s="405"/>
      <c r="T463" s="405"/>
      <c r="U463" s="407"/>
      <c r="V463" s="451"/>
      <c r="W463" s="405"/>
      <c r="X463" s="406"/>
      <c r="Y463" s="379"/>
      <c r="Z463" s="379"/>
    </row>
    <row r="464" spans="1:26" ht="30.6">
      <c r="A464" s="450" t="s">
        <v>2119</v>
      </c>
      <c r="B464" s="410" t="s">
        <v>2124</v>
      </c>
      <c r="C464" s="410" t="s">
        <v>2125</v>
      </c>
      <c r="D464" s="403" t="s">
        <v>404</v>
      </c>
      <c r="E464" s="402" t="s">
        <v>404</v>
      </c>
      <c r="F464" s="402" t="s">
        <v>404</v>
      </c>
      <c r="G464" s="402" t="s">
        <v>404</v>
      </c>
      <c r="H464" s="402">
        <v>4</v>
      </c>
      <c r="I464" s="402">
        <v>4</v>
      </c>
      <c r="J464" s="402" t="s">
        <v>1123</v>
      </c>
      <c r="K464" s="402">
        <v>40</v>
      </c>
      <c r="L464" s="402" t="s">
        <v>1138</v>
      </c>
      <c r="M464" s="403" t="s">
        <v>420</v>
      </c>
      <c r="N464" s="402" t="s">
        <v>1112</v>
      </c>
      <c r="O464" s="401"/>
      <c r="P464" s="405" t="s">
        <v>1180</v>
      </c>
      <c r="Q464" s="405"/>
      <c r="R464" s="407"/>
      <c r="S464" s="405"/>
      <c r="T464" s="405"/>
      <c r="U464" s="407"/>
      <c r="V464" s="451"/>
      <c r="W464" s="405"/>
      <c r="X464" s="406"/>
      <c r="Y464" s="379"/>
      <c r="Z464" s="379"/>
    </row>
    <row r="465" spans="1:26" ht="45.75" customHeight="1">
      <c r="A465" s="450" t="s">
        <v>2119</v>
      </c>
      <c r="B465" s="410" t="s">
        <v>2126</v>
      </c>
      <c r="C465" s="410" t="s">
        <v>2127</v>
      </c>
      <c r="D465" s="403" t="s">
        <v>404</v>
      </c>
      <c r="E465" s="402" t="s">
        <v>404</v>
      </c>
      <c r="F465" s="402" t="s">
        <v>404</v>
      </c>
      <c r="G465" s="402" t="s">
        <v>404</v>
      </c>
      <c r="H465" s="402">
        <v>6</v>
      </c>
      <c r="I465" s="402" t="s">
        <v>404</v>
      </c>
      <c r="J465" s="402" t="s">
        <v>1123</v>
      </c>
      <c r="K465" s="402">
        <v>40</v>
      </c>
      <c r="L465" s="402" t="s">
        <v>1134</v>
      </c>
      <c r="M465" s="403" t="s">
        <v>420</v>
      </c>
      <c r="N465" s="402" t="s">
        <v>1112</v>
      </c>
      <c r="O465" s="401">
        <v>6</v>
      </c>
      <c r="P465" s="405" t="s">
        <v>2122</v>
      </c>
      <c r="Q465" s="405"/>
      <c r="R465" s="407"/>
      <c r="S465" s="405"/>
      <c r="T465" s="405"/>
      <c r="U465" s="407"/>
      <c r="V465" s="451"/>
      <c r="W465" s="405"/>
      <c r="X465" s="406"/>
      <c r="Y465" s="379"/>
      <c r="Z465" s="379"/>
    </row>
    <row r="466" spans="1:26" ht="61.2">
      <c r="A466" s="450" t="s">
        <v>2119</v>
      </c>
      <c r="B466" s="410" t="s">
        <v>2128</v>
      </c>
      <c r="C466" s="410" t="s">
        <v>2129</v>
      </c>
      <c r="D466" s="403" t="s">
        <v>404</v>
      </c>
      <c r="E466" s="402" t="s">
        <v>404</v>
      </c>
      <c r="F466" s="402" t="s">
        <v>404</v>
      </c>
      <c r="G466" s="402" t="s">
        <v>404</v>
      </c>
      <c r="H466" s="402">
        <v>10</v>
      </c>
      <c r="I466" s="402">
        <v>10</v>
      </c>
      <c r="J466" s="402" t="s">
        <v>1110</v>
      </c>
      <c r="K466" s="402">
        <v>40</v>
      </c>
      <c r="L466" s="402" t="s">
        <v>1134</v>
      </c>
      <c r="M466" s="403" t="s">
        <v>420</v>
      </c>
      <c r="N466" s="402" t="s">
        <v>1112</v>
      </c>
      <c r="O466" s="401"/>
      <c r="P466" s="405" t="s">
        <v>2130</v>
      </c>
      <c r="Q466" s="405"/>
      <c r="R466" s="407"/>
      <c r="S466" s="405"/>
      <c r="T466" s="405"/>
      <c r="U466" s="407"/>
      <c r="V466" s="451"/>
      <c r="W466" s="405"/>
      <c r="X466" s="406"/>
      <c r="Y466" s="379"/>
      <c r="Z466" s="379"/>
    </row>
    <row r="467" spans="1:26" ht="122.4">
      <c r="A467" s="450" t="s">
        <v>2119</v>
      </c>
      <c r="B467" s="410" t="s">
        <v>2131</v>
      </c>
      <c r="C467" s="410" t="s">
        <v>2132</v>
      </c>
      <c r="D467" s="403" t="s">
        <v>404</v>
      </c>
      <c r="E467" s="402" t="s">
        <v>404</v>
      </c>
      <c r="F467" s="402" t="s">
        <v>404</v>
      </c>
      <c r="G467" s="402" t="s">
        <v>404</v>
      </c>
      <c r="H467" s="402">
        <v>10</v>
      </c>
      <c r="I467" s="402">
        <v>10</v>
      </c>
      <c r="J467" s="402" t="s">
        <v>1110</v>
      </c>
      <c r="K467" s="402">
        <v>40</v>
      </c>
      <c r="L467" s="402" t="s">
        <v>1134</v>
      </c>
      <c r="M467" s="403" t="s">
        <v>420</v>
      </c>
      <c r="N467" s="402" t="s">
        <v>1112</v>
      </c>
      <c r="O467" s="401"/>
      <c r="P467" s="405" t="s">
        <v>2133</v>
      </c>
      <c r="Q467" s="405"/>
      <c r="R467" s="407"/>
      <c r="S467" s="405"/>
      <c r="T467" s="405"/>
      <c r="U467" s="407"/>
      <c r="V467" s="451"/>
      <c r="W467" s="405"/>
      <c r="X467" s="406"/>
      <c r="Y467" s="379"/>
      <c r="Z467" s="379"/>
    </row>
    <row r="468" spans="1:26" ht="71.400000000000006">
      <c r="A468" s="450" t="s">
        <v>2119</v>
      </c>
      <c r="B468" s="410" t="s">
        <v>2134</v>
      </c>
      <c r="C468" s="410" t="s">
        <v>2135</v>
      </c>
      <c r="D468" s="403" t="s">
        <v>404</v>
      </c>
      <c r="E468" s="402">
        <v>60</v>
      </c>
      <c r="F468" s="402" t="s">
        <v>404</v>
      </c>
      <c r="G468" s="402" t="s">
        <v>404</v>
      </c>
      <c r="H468" s="402" t="s">
        <v>404</v>
      </c>
      <c r="I468" s="402" t="s">
        <v>404</v>
      </c>
      <c r="J468" s="402" t="s">
        <v>1137</v>
      </c>
      <c r="K468" s="402">
        <v>45</v>
      </c>
      <c r="L468" s="402" t="s">
        <v>1138</v>
      </c>
      <c r="M468" s="403" t="s">
        <v>419</v>
      </c>
      <c r="N468" s="402" t="s">
        <v>1112</v>
      </c>
      <c r="O468" s="411"/>
      <c r="P468" s="405" t="s">
        <v>2136</v>
      </c>
      <c r="Q468" s="405"/>
      <c r="R468" s="407"/>
      <c r="S468" s="405"/>
      <c r="T468" s="405"/>
      <c r="U468" s="407"/>
      <c r="V468" s="451"/>
      <c r="W468" s="405"/>
      <c r="X468" s="406"/>
      <c r="Y468" s="379"/>
      <c r="Z468" s="379"/>
    </row>
    <row r="469" spans="1:26" ht="20.399999999999999">
      <c r="A469" s="450" t="s">
        <v>2119</v>
      </c>
      <c r="B469" s="410" t="s">
        <v>1140</v>
      </c>
      <c r="C469" s="410" t="s">
        <v>2137</v>
      </c>
      <c r="D469" s="403" t="s">
        <v>404</v>
      </c>
      <c r="E469" s="402" t="s">
        <v>404</v>
      </c>
      <c r="F469" s="402" t="s">
        <v>404</v>
      </c>
      <c r="G469" s="402" t="s">
        <v>404</v>
      </c>
      <c r="H469" s="402" t="s">
        <v>404</v>
      </c>
      <c r="I469" s="402" t="s">
        <v>404</v>
      </c>
      <c r="J469" s="402" t="s">
        <v>404</v>
      </c>
      <c r="K469" s="402" t="s">
        <v>404</v>
      </c>
      <c r="L469" s="402" t="s">
        <v>404</v>
      </c>
      <c r="M469" s="403" t="s">
        <v>404</v>
      </c>
      <c r="N469" s="402" t="s">
        <v>404</v>
      </c>
      <c r="O469" s="401"/>
      <c r="P469" s="405" t="s">
        <v>1256</v>
      </c>
      <c r="Q469" s="405"/>
      <c r="R469" s="407"/>
      <c r="S469" s="405"/>
      <c r="T469" s="405"/>
      <c r="U469" s="407"/>
      <c r="V469" s="451"/>
      <c r="W469" s="405"/>
      <c r="X469" s="406"/>
      <c r="Y469" s="379"/>
      <c r="Z469" s="379"/>
    </row>
    <row r="470" spans="1:26">
      <c r="A470" s="450" t="s">
        <v>2119</v>
      </c>
      <c r="B470" s="410" t="s">
        <v>2138</v>
      </c>
      <c r="C470" s="410" t="s">
        <v>2139</v>
      </c>
      <c r="D470" s="403">
        <v>75</v>
      </c>
      <c r="E470" s="402">
        <v>70</v>
      </c>
      <c r="F470" s="402">
        <v>60</v>
      </c>
      <c r="G470" s="402">
        <v>30</v>
      </c>
      <c r="H470" s="402">
        <v>4</v>
      </c>
      <c r="I470" s="402">
        <v>2</v>
      </c>
      <c r="J470" s="402" t="s">
        <v>1137</v>
      </c>
      <c r="K470" s="402">
        <v>40</v>
      </c>
      <c r="L470" s="402" t="s">
        <v>1138</v>
      </c>
      <c r="M470" s="403" t="s">
        <v>419</v>
      </c>
      <c r="N470" s="402" t="s">
        <v>1139</v>
      </c>
      <c r="O470" s="401"/>
      <c r="P470" s="405"/>
      <c r="Q470" s="405"/>
      <c r="R470" s="407"/>
      <c r="S470" s="405"/>
      <c r="T470" s="405"/>
      <c r="U470" s="407"/>
      <c r="V470" s="451"/>
      <c r="W470" s="405"/>
      <c r="X470" s="406"/>
      <c r="Y470" s="379"/>
      <c r="Z470" s="379"/>
    </row>
    <row r="471" spans="1:26" ht="122.4">
      <c r="A471" s="450" t="s">
        <v>2119</v>
      </c>
      <c r="B471" s="410" t="s">
        <v>2140</v>
      </c>
      <c r="C471" s="410" t="s">
        <v>2141</v>
      </c>
      <c r="D471" s="403" t="s">
        <v>404</v>
      </c>
      <c r="E471" s="402" t="s">
        <v>404</v>
      </c>
      <c r="F471" s="402" t="s">
        <v>404</v>
      </c>
      <c r="G471" s="402" t="s">
        <v>404</v>
      </c>
      <c r="H471" s="402">
        <v>10</v>
      </c>
      <c r="I471" s="402">
        <v>10</v>
      </c>
      <c r="J471" s="402" t="s">
        <v>1110</v>
      </c>
      <c r="K471" s="402">
        <v>40</v>
      </c>
      <c r="L471" s="402" t="s">
        <v>1134</v>
      </c>
      <c r="M471" s="403" t="s">
        <v>420</v>
      </c>
      <c r="N471" s="402" t="s">
        <v>1112</v>
      </c>
      <c r="O471" s="401"/>
      <c r="P471" s="405" t="s">
        <v>2133</v>
      </c>
      <c r="Q471" s="405"/>
      <c r="R471" s="407"/>
      <c r="S471" s="405"/>
      <c r="T471" s="405"/>
      <c r="U471" s="407"/>
      <c r="V471" s="451"/>
      <c r="W471" s="405"/>
      <c r="X471" s="406"/>
      <c r="Y471" s="379"/>
      <c r="Z471" s="379"/>
    </row>
    <row r="472" spans="1:26" ht="30.6">
      <c r="A472" s="450" t="s">
        <v>2119</v>
      </c>
      <c r="B472" s="410" t="s">
        <v>2142</v>
      </c>
      <c r="C472" s="410" t="s">
        <v>2143</v>
      </c>
      <c r="D472" s="403">
        <v>75</v>
      </c>
      <c r="E472" s="402">
        <v>70</v>
      </c>
      <c r="F472" s="402">
        <v>60</v>
      </c>
      <c r="G472" s="402">
        <v>30</v>
      </c>
      <c r="H472" s="402">
        <v>10</v>
      </c>
      <c r="I472" s="402">
        <v>2</v>
      </c>
      <c r="J472" s="402" t="s">
        <v>1123</v>
      </c>
      <c r="K472" s="402">
        <v>40</v>
      </c>
      <c r="L472" s="402" t="s">
        <v>1124</v>
      </c>
      <c r="M472" s="403" t="s">
        <v>419</v>
      </c>
      <c r="N472" s="402" t="s">
        <v>1139</v>
      </c>
      <c r="O472" s="401"/>
      <c r="P472" s="405" t="s">
        <v>1680</v>
      </c>
      <c r="Q472" s="405"/>
      <c r="R472" s="407"/>
      <c r="S472" s="405"/>
      <c r="T472" s="405"/>
      <c r="U472" s="407"/>
      <c r="V472" s="451"/>
      <c r="W472" s="405"/>
      <c r="X472" s="406"/>
      <c r="Y472" s="379"/>
      <c r="Z472" s="379"/>
    </row>
    <row r="473" spans="1:26" ht="122.4">
      <c r="A473" s="450" t="s">
        <v>2119</v>
      </c>
      <c r="B473" s="410" t="s">
        <v>2144</v>
      </c>
      <c r="C473" s="410" t="s">
        <v>2145</v>
      </c>
      <c r="D473" s="403" t="s">
        <v>404</v>
      </c>
      <c r="E473" s="402" t="s">
        <v>404</v>
      </c>
      <c r="F473" s="402" t="s">
        <v>404</v>
      </c>
      <c r="G473" s="402" t="s">
        <v>404</v>
      </c>
      <c r="H473" s="402">
        <v>10</v>
      </c>
      <c r="I473" s="402">
        <v>10</v>
      </c>
      <c r="J473" s="402" t="s">
        <v>1110</v>
      </c>
      <c r="K473" s="402">
        <v>40</v>
      </c>
      <c r="L473" s="402" t="s">
        <v>1134</v>
      </c>
      <c r="M473" s="403" t="s">
        <v>420</v>
      </c>
      <c r="N473" s="402" t="s">
        <v>1112</v>
      </c>
      <c r="O473" s="401"/>
      <c r="P473" s="405" t="s">
        <v>2133</v>
      </c>
      <c r="Q473" s="405"/>
      <c r="R473" s="407"/>
      <c r="S473" s="405"/>
      <c r="T473" s="405"/>
      <c r="U473" s="407"/>
      <c r="V473" s="451"/>
      <c r="W473" s="405"/>
      <c r="X473" s="406"/>
      <c r="Y473" s="379"/>
      <c r="Z473" s="379"/>
    </row>
    <row r="474" spans="1:26" ht="55.5" customHeight="1">
      <c r="A474" s="450" t="s">
        <v>2119</v>
      </c>
      <c r="B474" s="410" t="s">
        <v>1199</v>
      </c>
      <c r="C474" s="410" t="s">
        <v>2146</v>
      </c>
      <c r="D474" s="403">
        <v>75</v>
      </c>
      <c r="E474" s="402">
        <v>70</v>
      </c>
      <c r="F474" s="402">
        <v>60</v>
      </c>
      <c r="G474" s="410">
        <v>30</v>
      </c>
      <c r="H474" s="402">
        <v>4</v>
      </c>
      <c r="I474" s="402">
        <v>2</v>
      </c>
      <c r="J474" s="402" t="s">
        <v>1137</v>
      </c>
      <c r="K474" s="402">
        <v>35</v>
      </c>
      <c r="L474" s="402" t="s">
        <v>1138</v>
      </c>
      <c r="M474" s="403" t="s">
        <v>419</v>
      </c>
      <c r="N474" s="402" t="s">
        <v>1139</v>
      </c>
      <c r="O474" s="411"/>
      <c r="P474" s="405" t="s">
        <v>2147</v>
      </c>
      <c r="Q474" s="405"/>
      <c r="R474" s="407"/>
      <c r="S474" s="405"/>
      <c r="T474" s="405"/>
      <c r="U474" s="407"/>
      <c r="V474" s="451"/>
      <c r="W474" s="405"/>
      <c r="X474" s="406"/>
      <c r="Y474" s="379"/>
      <c r="Z474" s="379"/>
    </row>
    <row r="475" spans="1:26" ht="30.6">
      <c r="A475" s="450" t="s">
        <v>2119</v>
      </c>
      <c r="B475" s="410" t="s">
        <v>1201</v>
      </c>
      <c r="C475" s="410" t="s">
        <v>2148</v>
      </c>
      <c r="D475" s="403">
        <v>75</v>
      </c>
      <c r="E475" s="402">
        <v>70</v>
      </c>
      <c r="F475" s="402">
        <v>60</v>
      </c>
      <c r="G475" s="410">
        <v>30</v>
      </c>
      <c r="H475" s="402">
        <v>4</v>
      </c>
      <c r="I475" s="402">
        <v>2</v>
      </c>
      <c r="J475" s="402" t="s">
        <v>1137</v>
      </c>
      <c r="K475" s="402">
        <v>40</v>
      </c>
      <c r="L475" s="402" t="s">
        <v>1138</v>
      </c>
      <c r="M475" s="403" t="s">
        <v>419</v>
      </c>
      <c r="N475" s="402" t="s">
        <v>1139</v>
      </c>
      <c r="O475" s="411"/>
      <c r="P475" s="405" t="s">
        <v>1203</v>
      </c>
      <c r="Q475" s="405"/>
      <c r="R475" s="407"/>
      <c r="S475" s="405"/>
      <c r="T475" s="405"/>
      <c r="U475" s="407"/>
      <c r="V475" s="451"/>
      <c r="W475" s="405"/>
      <c r="X475" s="406"/>
      <c r="Y475" s="379"/>
      <c r="Z475" s="379"/>
    </row>
    <row r="476" spans="1:26" ht="30.6">
      <c r="A476" s="450" t="s">
        <v>2119</v>
      </c>
      <c r="B476" s="410" t="s">
        <v>1201</v>
      </c>
      <c r="C476" s="410" t="s">
        <v>2149</v>
      </c>
      <c r="D476" s="403">
        <v>75</v>
      </c>
      <c r="E476" s="402">
        <v>70</v>
      </c>
      <c r="F476" s="402">
        <v>60</v>
      </c>
      <c r="G476" s="410">
        <v>30</v>
      </c>
      <c r="H476" s="402">
        <v>4</v>
      </c>
      <c r="I476" s="402">
        <v>2</v>
      </c>
      <c r="J476" s="402" t="s">
        <v>1137</v>
      </c>
      <c r="K476" s="402">
        <v>40</v>
      </c>
      <c r="L476" s="402" t="s">
        <v>1138</v>
      </c>
      <c r="M476" s="403" t="s">
        <v>419</v>
      </c>
      <c r="N476" s="402" t="s">
        <v>1139</v>
      </c>
      <c r="O476" s="411"/>
      <c r="P476" s="405" t="s">
        <v>1203</v>
      </c>
      <c r="Q476" s="405"/>
      <c r="R476" s="407"/>
      <c r="S476" s="405"/>
      <c r="T476" s="405"/>
      <c r="U476" s="407"/>
      <c r="V476" s="451"/>
      <c r="W476" s="405"/>
      <c r="X476" s="406"/>
      <c r="Y476" s="379"/>
      <c r="Z476" s="379"/>
    </row>
    <row r="477" spans="1:26" ht="30.6">
      <c r="A477" s="450" t="s">
        <v>2119</v>
      </c>
      <c r="B477" s="410" t="s">
        <v>1201</v>
      </c>
      <c r="C477" s="410" t="s">
        <v>2150</v>
      </c>
      <c r="D477" s="403">
        <v>75</v>
      </c>
      <c r="E477" s="402">
        <v>70</v>
      </c>
      <c r="F477" s="402">
        <v>60</v>
      </c>
      <c r="G477" s="410">
        <v>30</v>
      </c>
      <c r="H477" s="402">
        <v>4</v>
      </c>
      <c r="I477" s="402">
        <v>2</v>
      </c>
      <c r="J477" s="402" t="s">
        <v>1137</v>
      </c>
      <c r="K477" s="402">
        <v>40</v>
      </c>
      <c r="L477" s="402" t="s">
        <v>1138</v>
      </c>
      <c r="M477" s="403" t="s">
        <v>419</v>
      </c>
      <c r="N477" s="402" t="s">
        <v>1139</v>
      </c>
      <c r="O477" s="411"/>
      <c r="P477" s="405" t="s">
        <v>1203</v>
      </c>
      <c r="Q477" s="405"/>
      <c r="R477" s="407"/>
      <c r="S477" s="405"/>
      <c r="T477" s="405"/>
      <c r="U477" s="407"/>
      <c r="V477" s="451"/>
      <c r="W477" s="405"/>
      <c r="X477" s="406"/>
      <c r="Y477" s="379"/>
      <c r="Z477" s="379"/>
    </row>
    <row r="478" spans="1:26">
      <c r="A478" s="450" t="s">
        <v>2119</v>
      </c>
      <c r="B478" s="410" t="s">
        <v>1216</v>
      </c>
      <c r="C478" s="410" t="s">
        <v>2151</v>
      </c>
      <c r="D478" s="403">
        <v>75</v>
      </c>
      <c r="E478" s="402">
        <v>70</v>
      </c>
      <c r="F478" s="402">
        <v>60</v>
      </c>
      <c r="G478" s="410">
        <v>30</v>
      </c>
      <c r="H478" s="402">
        <v>4</v>
      </c>
      <c r="I478" s="402">
        <v>2</v>
      </c>
      <c r="J478" s="402" t="s">
        <v>1137</v>
      </c>
      <c r="K478" s="402">
        <v>40</v>
      </c>
      <c r="L478" s="402" t="s">
        <v>1138</v>
      </c>
      <c r="M478" s="403" t="s">
        <v>419</v>
      </c>
      <c r="N478" s="402" t="s">
        <v>1139</v>
      </c>
      <c r="O478" s="411"/>
      <c r="P478" s="405"/>
      <c r="Q478" s="405"/>
      <c r="R478" s="407"/>
      <c r="S478" s="405"/>
      <c r="T478" s="405"/>
      <c r="U478" s="407"/>
      <c r="V478" s="451"/>
      <c r="W478" s="405"/>
      <c r="X478" s="406"/>
      <c r="Y478" s="379"/>
      <c r="Z478" s="379"/>
    </row>
    <row r="479" spans="1:26">
      <c r="A479" s="450" t="s">
        <v>2119</v>
      </c>
      <c r="B479" s="410" t="s">
        <v>1219</v>
      </c>
      <c r="C479" s="410" t="s">
        <v>2152</v>
      </c>
      <c r="D479" s="403">
        <v>75</v>
      </c>
      <c r="E479" s="402">
        <v>70</v>
      </c>
      <c r="F479" s="402">
        <v>60</v>
      </c>
      <c r="G479" s="410">
        <v>30</v>
      </c>
      <c r="H479" s="402">
        <v>6</v>
      </c>
      <c r="I479" s="402">
        <v>2</v>
      </c>
      <c r="J479" s="402" t="s">
        <v>1137</v>
      </c>
      <c r="K479" s="402">
        <v>40</v>
      </c>
      <c r="L479" s="418" t="s">
        <v>1221</v>
      </c>
      <c r="M479" s="403" t="s">
        <v>419</v>
      </c>
      <c r="N479" s="402" t="s">
        <v>1139</v>
      </c>
      <c r="O479" s="411"/>
      <c r="P479" s="405"/>
      <c r="Q479" s="405"/>
      <c r="R479" s="407"/>
      <c r="S479" s="405"/>
      <c r="T479" s="405"/>
      <c r="U479" s="407"/>
      <c r="V479" s="451"/>
      <c r="W479" s="405"/>
      <c r="X479" s="406"/>
      <c r="Y479" s="379"/>
      <c r="Z479" s="379"/>
    </row>
    <row r="480" spans="1:26" ht="20.399999999999999">
      <c r="A480" s="450" t="s">
        <v>2153</v>
      </c>
      <c r="B480" s="410" t="s">
        <v>2154</v>
      </c>
      <c r="C480" s="410" t="s">
        <v>2155</v>
      </c>
      <c r="D480" s="403">
        <v>75</v>
      </c>
      <c r="E480" s="402">
        <v>70</v>
      </c>
      <c r="F480" s="402">
        <v>60</v>
      </c>
      <c r="G480" s="410">
        <v>30</v>
      </c>
      <c r="H480" s="402">
        <v>6</v>
      </c>
      <c r="I480" s="402">
        <v>2</v>
      </c>
      <c r="J480" s="402" t="s">
        <v>1137</v>
      </c>
      <c r="K480" s="402">
        <v>40</v>
      </c>
      <c r="L480" s="418" t="s">
        <v>1221</v>
      </c>
      <c r="M480" s="403" t="s">
        <v>419</v>
      </c>
      <c r="N480" s="402" t="s">
        <v>1112</v>
      </c>
      <c r="O480" s="411"/>
      <c r="P480" s="405"/>
      <c r="Q480" s="405"/>
      <c r="R480" s="407"/>
      <c r="S480" s="405"/>
      <c r="T480" s="405"/>
      <c r="U480" s="407"/>
      <c r="V480" s="451"/>
      <c r="W480" s="405"/>
      <c r="X480" s="406"/>
      <c r="Y480" s="379"/>
      <c r="Z480" s="379"/>
    </row>
    <row r="481" spans="1:26">
      <c r="A481" s="452" t="s">
        <v>2153</v>
      </c>
      <c r="B481" s="410" t="s">
        <v>2156</v>
      </c>
      <c r="C481" s="410" t="s">
        <v>2157</v>
      </c>
      <c r="D481" s="403" t="s">
        <v>404</v>
      </c>
      <c r="E481" s="402" t="s">
        <v>404</v>
      </c>
      <c r="F481" s="402" t="s">
        <v>404</v>
      </c>
      <c r="G481" s="410" t="s">
        <v>404</v>
      </c>
      <c r="H481" s="402">
        <v>10</v>
      </c>
      <c r="I481" s="402" t="s">
        <v>404</v>
      </c>
      <c r="J481" s="402" t="s">
        <v>1123</v>
      </c>
      <c r="K481" s="402">
        <v>40</v>
      </c>
      <c r="L481" s="402" t="s">
        <v>1134</v>
      </c>
      <c r="M481" s="403" t="s">
        <v>420</v>
      </c>
      <c r="N481" s="402" t="s">
        <v>1112</v>
      </c>
      <c r="O481" s="411"/>
      <c r="P481" s="405"/>
      <c r="Q481" s="405"/>
      <c r="R481" s="407"/>
      <c r="S481" s="405"/>
      <c r="T481" s="405"/>
      <c r="U481" s="407"/>
      <c r="V481" s="451"/>
      <c r="W481" s="405"/>
      <c r="X481" s="406"/>
      <c r="Y481" s="379"/>
      <c r="Z481" s="379"/>
    </row>
    <row r="482" spans="1:26">
      <c r="A482" s="452" t="s">
        <v>2153</v>
      </c>
      <c r="B482" s="410" t="s">
        <v>2158</v>
      </c>
      <c r="C482" s="410" t="s">
        <v>2159</v>
      </c>
      <c r="D482" s="403">
        <v>75</v>
      </c>
      <c r="E482" s="402">
        <v>70</v>
      </c>
      <c r="F482" s="402">
        <v>60</v>
      </c>
      <c r="G482" s="410">
        <v>30</v>
      </c>
      <c r="H482" s="402">
        <v>6</v>
      </c>
      <c r="I482" s="402">
        <v>2</v>
      </c>
      <c r="J482" s="402" t="s">
        <v>1137</v>
      </c>
      <c r="K482" s="402">
        <v>35</v>
      </c>
      <c r="L482" s="402" t="s">
        <v>1227</v>
      </c>
      <c r="M482" s="403" t="s">
        <v>419</v>
      </c>
      <c r="N482" s="402" t="s">
        <v>1139</v>
      </c>
      <c r="O482" s="401"/>
      <c r="P482" s="405"/>
      <c r="Q482" s="405"/>
      <c r="R482" s="407"/>
      <c r="S482" s="405"/>
      <c r="T482" s="405"/>
      <c r="U482" s="407"/>
      <c r="V482" s="451"/>
      <c r="W482" s="405"/>
      <c r="X482" s="406"/>
      <c r="Y482" s="379"/>
      <c r="Z482" s="379"/>
    </row>
    <row r="483" spans="1:26" ht="20.399999999999999">
      <c r="A483" s="450" t="s">
        <v>2160</v>
      </c>
      <c r="B483" s="410" t="s">
        <v>1276</v>
      </c>
      <c r="C483" s="410" t="s">
        <v>2161</v>
      </c>
      <c r="D483" s="403">
        <v>75</v>
      </c>
      <c r="E483" s="402">
        <v>70</v>
      </c>
      <c r="F483" s="402">
        <v>60</v>
      </c>
      <c r="G483" s="410">
        <v>30</v>
      </c>
      <c r="H483" s="402">
        <v>6</v>
      </c>
      <c r="I483" s="402">
        <v>2</v>
      </c>
      <c r="J483" s="402" t="s">
        <v>1137</v>
      </c>
      <c r="K483" s="402">
        <v>40</v>
      </c>
      <c r="L483" s="418" t="s">
        <v>1221</v>
      </c>
      <c r="M483" s="403" t="s">
        <v>419</v>
      </c>
      <c r="N483" s="402" t="s">
        <v>1139</v>
      </c>
      <c r="O483" s="411"/>
      <c r="P483" s="405"/>
      <c r="Q483" s="405"/>
      <c r="R483" s="407"/>
      <c r="S483" s="405"/>
      <c r="T483" s="405"/>
      <c r="U483" s="407"/>
      <c r="V483" s="451"/>
      <c r="W483" s="405"/>
      <c r="X483" s="406"/>
      <c r="Y483" s="379"/>
      <c r="Z483" s="379"/>
    </row>
    <row r="484" spans="1:26" ht="51">
      <c r="A484" s="452" t="s">
        <v>2162</v>
      </c>
      <c r="B484" s="410" t="s">
        <v>2163</v>
      </c>
      <c r="C484" s="410" t="s">
        <v>2164</v>
      </c>
      <c r="D484" s="403" t="s">
        <v>404</v>
      </c>
      <c r="E484" s="402">
        <v>50</v>
      </c>
      <c r="F484" s="402" t="s">
        <v>404</v>
      </c>
      <c r="G484" s="410" t="s">
        <v>404</v>
      </c>
      <c r="H484" s="402" t="s">
        <v>404</v>
      </c>
      <c r="I484" s="402" t="s">
        <v>404</v>
      </c>
      <c r="J484" s="402" t="s">
        <v>404</v>
      </c>
      <c r="K484" s="402">
        <v>40</v>
      </c>
      <c r="L484" s="402" t="s">
        <v>1227</v>
      </c>
      <c r="M484" s="403" t="s">
        <v>419</v>
      </c>
      <c r="N484" s="402" t="s">
        <v>404</v>
      </c>
      <c r="O484" s="401"/>
      <c r="P484" s="405" t="s">
        <v>1379</v>
      </c>
      <c r="Q484" s="405"/>
      <c r="R484" s="407"/>
      <c r="S484" s="405"/>
      <c r="T484" s="405"/>
      <c r="U484" s="407"/>
      <c r="V484" s="451"/>
      <c r="W484" s="405"/>
      <c r="X484" s="406"/>
      <c r="Y484" s="379"/>
      <c r="Z484" s="379"/>
    </row>
    <row r="485" spans="1:26" ht="30.6">
      <c r="A485" s="452" t="s">
        <v>2162</v>
      </c>
      <c r="B485" s="410" t="s">
        <v>1201</v>
      </c>
      <c r="C485" s="410" t="s">
        <v>2165</v>
      </c>
      <c r="D485" s="403">
        <v>75</v>
      </c>
      <c r="E485" s="402">
        <v>70</v>
      </c>
      <c r="F485" s="402">
        <v>60</v>
      </c>
      <c r="G485" s="410">
        <v>30</v>
      </c>
      <c r="H485" s="402">
        <v>4</v>
      </c>
      <c r="I485" s="402">
        <v>2</v>
      </c>
      <c r="J485" s="402" t="s">
        <v>1137</v>
      </c>
      <c r="K485" s="402">
        <v>40</v>
      </c>
      <c r="L485" s="402" t="s">
        <v>1138</v>
      </c>
      <c r="M485" s="403" t="s">
        <v>419</v>
      </c>
      <c r="N485" s="402" t="s">
        <v>1139</v>
      </c>
      <c r="O485" s="411"/>
      <c r="P485" s="405" t="s">
        <v>1203</v>
      </c>
      <c r="Q485" s="405"/>
      <c r="R485" s="407"/>
      <c r="S485" s="405"/>
      <c r="T485" s="405"/>
      <c r="U485" s="407"/>
      <c r="V485" s="451"/>
      <c r="W485" s="405"/>
      <c r="X485" s="406"/>
      <c r="Y485" s="379"/>
      <c r="Z485" s="379"/>
    </row>
    <row r="486" spans="1:26" ht="30.6">
      <c r="A486" s="452" t="s">
        <v>2162</v>
      </c>
      <c r="B486" s="410" t="s">
        <v>1201</v>
      </c>
      <c r="C486" s="410" t="s">
        <v>2166</v>
      </c>
      <c r="D486" s="403">
        <v>75</v>
      </c>
      <c r="E486" s="402">
        <v>70</v>
      </c>
      <c r="F486" s="402">
        <v>60</v>
      </c>
      <c r="G486" s="410">
        <v>30</v>
      </c>
      <c r="H486" s="402">
        <v>4</v>
      </c>
      <c r="I486" s="402">
        <v>2</v>
      </c>
      <c r="J486" s="402" t="s">
        <v>1137</v>
      </c>
      <c r="K486" s="402">
        <v>40</v>
      </c>
      <c r="L486" s="402" t="s">
        <v>1138</v>
      </c>
      <c r="M486" s="403" t="s">
        <v>419</v>
      </c>
      <c r="N486" s="402" t="s">
        <v>1139</v>
      </c>
      <c r="O486" s="411"/>
      <c r="P486" s="405" t="s">
        <v>1203</v>
      </c>
      <c r="Q486" s="405"/>
      <c r="R486" s="407"/>
      <c r="S486" s="405"/>
      <c r="T486" s="405"/>
      <c r="U486" s="407"/>
      <c r="V486" s="451"/>
      <c r="W486" s="405"/>
      <c r="X486" s="406"/>
      <c r="Y486" s="379"/>
      <c r="Z486" s="379"/>
    </row>
    <row r="487" spans="1:26">
      <c r="A487" s="452" t="s">
        <v>2162</v>
      </c>
      <c r="B487" s="410" t="s">
        <v>1208</v>
      </c>
      <c r="C487" s="410" t="s">
        <v>2167</v>
      </c>
      <c r="D487" s="403">
        <v>75</v>
      </c>
      <c r="E487" s="402">
        <v>70</v>
      </c>
      <c r="F487" s="402">
        <v>60</v>
      </c>
      <c r="G487" s="410">
        <v>30</v>
      </c>
      <c r="H487" s="402">
        <v>4</v>
      </c>
      <c r="I487" s="402">
        <v>2</v>
      </c>
      <c r="J487" s="402" t="s">
        <v>1137</v>
      </c>
      <c r="K487" s="402">
        <v>40</v>
      </c>
      <c r="L487" s="402" t="s">
        <v>1138</v>
      </c>
      <c r="M487" s="403" t="s">
        <v>419</v>
      </c>
      <c r="N487" s="402" t="s">
        <v>1139</v>
      </c>
      <c r="O487" s="411"/>
      <c r="P487" s="405"/>
      <c r="Q487" s="405"/>
      <c r="R487" s="407"/>
      <c r="S487" s="405"/>
      <c r="T487" s="405"/>
      <c r="U487" s="407"/>
      <c r="V487" s="451"/>
      <c r="W487" s="405"/>
      <c r="X487" s="406"/>
      <c r="Y487" s="379"/>
      <c r="Z487" s="379"/>
    </row>
    <row r="488" spans="1:26">
      <c r="A488" s="452" t="s">
        <v>2162</v>
      </c>
      <c r="B488" s="410" t="s">
        <v>1274</v>
      </c>
      <c r="C488" s="410" t="s">
        <v>2168</v>
      </c>
      <c r="D488" s="403">
        <v>75</v>
      </c>
      <c r="E488" s="402">
        <v>70</v>
      </c>
      <c r="F488" s="402">
        <v>60</v>
      </c>
      <c r="G488" s="410">
        <v>30</v>
      </c>
      <c r="H488" s="402">
        <v>4</v>
      </c>
      <c r="I488" s="402">
        <v>2</v>
      </c>
      <c r="J488" s="402" t="s">
        <v>1137</v>
      </c>
      <c r="K488" s="402">
        <v>40</v>
      </c>
      <c r="L488" s="402" t="s">
        <v>1138</v>
      </c>
      <c r="M488" s="403" t="s">
        <v>419</v>
      </c>
      <c r="N488" s="402" t="s">
        <v>1139</v>
      </c>
      <c r="O488" s="411"/>
      <c r="P488" s="405"/>
      <c r="Q488" s="405"/>
      <c r="R488" s="407"/>
      <c r="S488" s="405"/>
      <c r="T488" s="405"/>
      <c r="U488" s="407"/>
      <c r="V488" s="451"/>
      <c r="W488" s="405"/>
      <c r="X488" s="406"/>
      <c r="Y488" s="379"/>
      <c r="Z488" s="379"/>
    </row>
    <row r="489" spans="1:26">
      <c r="A489" s="452" t="s">
        <v>2162</v>
      </c>
      <c r="B489" s="410" t="s">
        <v>1276</v>
      </c>
      <c r="C489" s="410" t="s">
        <v>2169</v>
      </c>
      <c r="D489" s="403">
        <v>75</v>
      </c>
      <c r="E489" s="402">
        <v>70</v>
      </c>
      <c r="F489" s="402">
        <v>60</v>
      </c>
      <c r="G489" s="410">
        <v>30</v>
      </c>
      <c r="H489" s="402">
        <v>4</v>
      </c>
      <c r="I489" s="402">
        <v>2</v>
      </c>
      <c r="J489" s="402" t="s">
        <v>1137</v>
      </c>
      <c r="K489" s="402">
        <v>40</v>
      </c>
      <c r="L489" s="402" t="s">
        <v>1138</v>
      </c>
      <c r="M489" s="403" t="s">
        <v>419</v>
      </c>
      <c r="N489" s="402" t="s">
        <v>1139</v>
      </c>
      <c r="O489" s="411"/>
      <c r="P489" s="405"/>
      <c r="Q489" s="405"/>
      <c r="R489" s="407"/>
      <c r="S489" s="405"/>
      <c r="T489" s="405"/>
      <c r="U489" s="407"/>
      <c r="V489" s="451"/>
      <c r="W489" s="405"/>
      <c r="X489" s="406"/>
      <c r="Y489" s="379"/>
      <c r="Z489" s="379"/>
    </row>
    <row r="490" spans="1:26">
      <c r="A490" s="452" t="s">
        <v>2162</v>
      </c>
      <c r="B490" s="410" t="s">
        <v>1219</v>
      </c>
      <c r="C490" s="410" t="s">
        <v>2170</v>
      </c>
      <c r="D490" s="403">
        <v>75</v>
      </c>
      <c r="E490" s="402">
        <v>70</v>
      </c>
      <c r="F490" s="402">
        <v>60</v>
      </c>
      <c r="G490" s="410">
        <v>30</v>
      </c>
      <c r="H490" s="402">
        <v>6</v>
      </c>
      <c r="I490" s="402">
        <v>2</v>
      </c>
      <c r="J490" s="402" t="s">
        <v>1137</v>
      </c>
      <c r="K490" s="402">
        <v>40</v>
      </c>
      <c r="L490" s="418" t="s">
        <v>1221</v>
      </c>
      <c r="M490" s="403" t="s">
        <v>419</v>
      </c>
      <c r="N490" s="402" t="s">
        <v>1139</v>
      </c>
      <c r="O490" s="411"/>
      <c r="P490" s="405"/>
      <c r="Q490" s="405"/>
      <c r="R490" s="407"/>
      <c r="S490" s="405"/>
      <c r="T490" s="405"/>
      <c r="U490" s="407"/>
      <c r="V490" s="451"/>
      <c r="W490" s="405"/>
      <c r="X490" s="406"/>
      <c r="Y490" s="379"/>
      <c r="Z490" s="379"/>
    </row>
    <row r="491" spans="1:26" ht="51">
      <c r="A491" s="452" t="s">
        <v>2171</v>
      </c>
      <c r="B491" s="410" t="s">
        <v>1128</v>
      </c>
      <c r="C491" s="402" t="s">
        <v>2172</v>
      </c>
      <c r="D491" s="403">
        <v>75</v>
      </c>
      <c r="E491" s="402">
        <v>70</v>
      </c>
      <c r="F491" s="402">
        <v>60</v>
      </c>
      <c r="G491" s="410">
        <v>30</v>
      </c>
      <c r="H491" s="402">
        <v>10</v>
      </c>
      <c r="I491" s="402" t="s">
        <v>404</v>
      </c>
      <c r="J491" s="402" t="s">
        <v>1123</v>
      </c>
      <c r="K491" s="402">
        <v>40</v>
      </c>
      <c r="L491" s="402" t="s">
        <v>1124</v>
      </c>
      <c r="M491" s="403" t="s">
        <v>419</v>
      </c>
      <c r="N491" s="402" t="s">
        <v>1112</v>
      </c>
      <c r="O491" s="411"/>
      <c r="P491" s="405" t="s">
        <v>1125</v>
      </c>
      <c r="Q491" s="405"/>
      <c r="R491" s="407"/>
      <c r="S491" s="405"/>
      <c r="T491" s="405"/>
      <c r="U491" s="407"/>
      <c r="V491" s="451"/>
      <c r="W491" s="405"/>
      <c r="X491" s="406"/>
      <c r="Y491" s="379"/>
      <c r="Z491" s="379"/>
    </row>
    <row r="492" spans="1:26" ht="51">
      <c r="A492" s="452" t="s">
        <v>2171</v>
      </c>
      <c r="B492" s="410" t="s">
        <v>1130</v>
      </c>
      <c r="C492" s="402" t="s">
        <v>2173</v>
      </c>
      <c r="D492" s="403">
        <v>75</v>
      </c>
      <c r="E492" s="402">
        <v>70</v>
      </c>
      <c r="F492" s="402">
        <v>60</v>
      </c>
      <c r="G492" s="410">
        <v>30</v>
      </c>
      <c r="H492" s="402">
        <v>10</v>
      </c>
      <c r="I492" s="402" t="s">
        <v>404</v>
      </c>
      <c r="J492" s="402" t="s">
        <v>1123</v>
      </c>
      <c r="K492" s="402">
        <v>40</v>
      </c>
      <c r="L492" s="402" t="s">
        <v>1124</v>
      </c>
      <c r="M492" s="403" t="s">
        <v>419</v>
      </c>
      <c r="N492" s="402" t="s">
        <v>1112</v>
      </c>
      <c r="O492" s="411"/>
      <c r="P492" s="405" t="s">
        <v>1125</v>
      </c>
      <c r="Q492" s="405"/>
      <c r="R492" s="407"/>
      <c r="S492" s="405"/>
      <c r="T492" s="405"/>
      <c r="U492" s="407"/>
      <c r="V492" s="451"/>
      <c r="W492" s="405"/>
      <c r="X492" s="406"/>
      <c r="Y492" s="379"/>
      <c r="Z492" s="379"/>
    </row>
    <row r="493" spans="1:26" ht="20.399999999999999">
      <c r="A493" s="452" t="s">
        <v>2171</v>
      </c>
      <c r="B493" s="410" t="s">
        <v>1132</v>
      </c>
      <c r="C493" s="410" t="s">
        <v>2174</v>
      </c>
      <c r="D493" s="403" t="s">
        <v>404</v>
      </c>
      <c r="E493" s="402" t="s">
        <v>404</v>
      </c>
      <c r="F493" s="402" t="s">
        <v>404</v>
      </c>
      <c r="G493" s="410" t="s">
        <v>404</v>
      </c>
      <c r="H493" s="402">
        <v>10</v>
      </c>
      <c r="I493" s="402" t="s">
        <v>404</v>
      </c>
      <c r="J493" s="402" t="s">
        <v>1123</v>
      </c>
      <c r="K493" s="402">
        <v>40</v>
      </c>
      <c r="L493" s="402" t="s">
        <v>1134</v>
      </c>
      <c r="M493" s="403" t="s">
        <v>420</v>
      </c>
      <c r="N493" s="402" t="s">
        <v>1112</v>
      </c>
      <c r="O493" s="411"/>
      <c r="P493" s="405"/>
      <c r="Q493" s="405"/>
      <c r="R493" s="407"/>
      <c r="S493" s="405"/>
      <c r="T493" s="405"/>
      <c r="U493" s="407"/>
      <c r="V493" s="451"/>
      <c r="W493" s="405"/>
      <c r="X493" s="406"/>
      <c r="Y493" s="379"/>
      <c r="Z493" s="379"/>
    </row>
    <row r="494" spans="1:26">
      <c r="A494" s="452" t="s">
        <v>2171</v>
      </c>
      <c r="B494" s="410" t="s">
        <v>1135</v>
      </c>
      <c r="C494" s="402" t="s">
        <v>2175</v>
      </c>
      <c r="D494" s="403">
        <v>75</v>
      </c>
      <c r="E494" s="402">
        <v>70</v>
      </c>
      <c r="F494" s="402">
        <v>60</v>
      </c>
      <c r="G494" s="410">
        <v>30</v>
      </c>
      <c r="H494" s="402">
        <v>4</v>
      </c>
      <c r="I494" s="402">
        <v>2</v>
      </c>
      <c r="J494" s="402" t="s">
        <v>1137</v>
      </c>
      <c r="K494" s="402">
        <v>40</v>
      </c>
      <c r="L494" s="402" t="s">
        <v>1138</v>
      </c>
      <c r="M494" s="403" t="s">
        <v>419</v>
      </c>
      <c r="N494" s="402" t="s">
        <v>1139</v>
      </c>
      <c r="O494" s="411"/>
      <c r="P494" s="405"/>
      <c r="Q494" s="405"/>
      <c r="R494" s="407"/>
      <c r="S494" s="405"/>
      <c r="T494" s="405"/>
      <c r="U494" s="407"/>
      <c r="V494" s="451"/>
      <c r="W494" s="405"/>
      <c r="X494" s="406"/>
      <c r="Y494" s="379"/>
      <c r="Z494" s="379"/>
    </row>
    <row r="495" spans="1:26" ht="30.6">
      <c r="A495" s="452" t="s">
        <v>2171</v>
      </c>
      <c r="B495" s="410" t="s">
        <v>1140</v>
      </c>
      <c r="C495" s="410" t="s">
        <v>2176</v>
      </c>
      <c r="D495" s="403" t="s">
        <v>404</v>
      </c>
      <c r="E495" s="402" t="s">
        <v>404</v>
      </c>
      <c r="F495" s="402" t="s">
        <v>404</v>
      </c>
      <c r="G495" s="410" t="s">
        <v>404</v>
      </c>
      <c r="H495" s="402" t="s">
        <v>404</v>
      </c>
      <c r="I495" s="402" t="s">
        <v>404</v>
      </c>
      <c r="J495" s="402" t="s">
        <v>404</v>
      </c>
      <c r="K495" s="402" t="s">
        <v>404</v>
      </c>
      <c r="L495" s="402" t="s">
        <v>404</v>
      </c>
      <c r="M495" s="403" t="s">
        <v>404</v>
      </c>
      <c r="N495" s="402" t="s">
        <v>404</v>
      </c>
      <c r="O495" s="401"/>
      <c r="P495" s="405" t="s">
        <v>2177</v>
      </c>
      <c r="Q495" s="405"/>
      <c r="R495" s="407"/>
      <c r="S495" s="405"/>
      <c r="T495" s="405"/>
      <c r="U495" s="407"/>
      <c r="V495" s="451"/>
      <c r="W495" s="405"/>
      <c r="X495" s="406"/>
      <c r="Y495" s="379"/>
      <c r="Z495" s="379"/>
    </row>
    <row r="496" spans="1:26">
      <c r="A496" s="452" t="s">
        <v>2171</v>
      </c>
      <c r="B496" s="410" t="s">
        <v>1171</v>
      </c>
      <c r="C496" s="410" t="s">
        <v>2178</v>
      </c>
      <c r="D496" s="403">
        <v>75</v>
      </c>
      <c r="E496" s="402">
        <v>70</v>
      </c>
      <c r="F496" s="402">
        <v>60</v>
      </c>
      <c r="G496" s="410">
        <v>30</v>
      </c>
      <c r="H496" s="402">
        <v>4</v>
      </c>
      <c r="I496" s="402">
        <v>2</v>
      </c>
      <c r="J496" s="402" t="s">
        <v>1137</v>
      </c>
      <c r="K496" s="402">
        <v>40</v>
      </c>
      <c r="L496" s="402" t="s">
        <v>1138</v>
      </c>
      <c r="M496" s="403" t="s">
        <v>419</v>
      </c>
      <c r="N496" s="402" t="s">
        <v>1139</v>
      </c>
      <c r="O496" s="411"/>
      <c r="P496" s="405"/>
      <c r="Q496" s="405"/>
      <c r="R496" s="407"/>
      <c r="S496" s="405"/>
      <c r="T496" s="405"/>
      <c r="U496" s="407"/>
      <c r="V496" s="451"/>
      <c r="W496" s="405"/>
      <c r="X496" s="406"/>
      <c r="Y496" s="379"/>
      <c r="Z496" s="379"/>
    </row>
    <row r="497" spans="1:26">
      <c r="A497" s="452" t="s">
        <v>2171</v>
      </c>
      <c r="B497" s="410" t="s">
        <v>1258</v>
      </c>
      <c r="C497" s="402" t="s">
        <v>2179</v>
      </c>
      <c r="D497" s="403">
        <v>75</v>
      </c>
      <c r="E497" s="402">
        <v>70</v>
      </c>
      <c r="F497" s="402">
        <v>60</v>
      </c>
      <c r="G497" s="410">
        <v>30</v>
      </c>
      <c r="H497" s="402">
        <v>4</v>
      </c>
      <c r="I497" s="402">
        <v>2</v>
      </c>
      <c r="J497" s="402" t="s">
        <v>1137</v>
      </c>
      <c r="K497" s="402">
        <v>40</v>
      </c>
      <c r="L497" s="402" t="s">
        <v>1138</v>
      </c>
      <c r="M497" s="403" t="s">
        <v>419</v>
      </c>
      <c r="N497" s="402" t="s">
        <v>1139</v>
      </c>
      <c r="O497" s="411"/>
      <c r="P497" s="405"/>
      <c r="Q497" s="405"/>
      <c r="R497" s="407"/>
      <c r="S497" s="405"/>
      <c r="T497" s="405"/>
      <c r="U497" s="407"/>
      <c r="V497" s="451"/>
      <c r="W497" s="405"/>
      <c r="X497" s="406"/>
      <c r="Y497" s="379"/>
      <c r="Z497" s="379"/>
    </row>
    <row r="498" spans="1:26" ht="51">
      <c r="A498" s="452" t="s">
        <v>2171</v>
      </c>
      <c r="B498" s="410" t="s">
        <v>1260</v>
      </c>
      <c r="C498" s="402" t="s">
        <v>2180</v>
      </c>
      <c r="D498" s="403">
        <v>75</v>
      </c>
      <c r="E498" s="402">
        <v>70</v>
      </c>
      <c r="F498" s="402">
        <v>60</v>
      </c>
      <c r="G498" s="410">
        <v>30</v>
      </c>
      <c r="H498" s="402">
        <v>6</v>
      </c>
      <c r="I498" s="402">
        <v>2</v>
      </c>
      <c r="J498" s="402" t="s">
        <v>1137</v>
      </c>
      <c r="K498" s="402">
        <v>35</v>
      </c>
      <c r="L498" s="418" t="s">
        <v>1138</v>
      </c>
      <c r="M498" s="403" t="s">
        <v>1096</v>
      </c>
      <c r="N498" s="402" t="s">
        <v>1139</v>
      </c>
      <c r="O498" s="401"/>
      <c r="P498" s="405" t="s">
        <v>1262</v>
      </c>
      <c r="Q498" s="405"/>
      <c r="R498" s="407"/>
      <c r="S498" s="405"/>
      <c r="T498" s="405"/>
      <c r="U498" s="407"/>
      <c r="V498" s="451"/>
      <c r="W498" s="405"/>
      <c r="X498" s="406"/>
      <c r="Y498" s="379"/>
      <c r="Z498" s="379"/>
    </row>
    <row r="499" spans="1:26">
      <c r="A499" s="452" t="s">
        <v>2171</v>
      </c>
      <c r="B499" s="410" t="s">
        <v>2181</v>
      </c>
      <c r="C499" s="410" t="s">
        <v>2182</v>
      </c>
      <c r="D499" s="403">
        <v>75</v>
      </c>
      <c r="E499" s="402">
        <v>70</v>
      </c>
      <c r="F499" s="402">
        <v>60</v>
      </c>
      <c r="G499" s="410">
        <v>30</v>
      </c>
      <c r="H499" s="402">
        <v>4</v>
      </c>
      <c r="I499" s="402">
        <v>2</v>
      </c>
      <c r="J499" s="402" t="s">
        <v>1137</v>
      </c>
      <c r="K499" s="402">
        <v>40</v>
      </c>
      <c r="L499" s="402" t="s">
        <v>1138</v>
      </c>
      <c r="M499" s="403" t="s">
        <v>419</v>
      </c>
      <c r="N499" s="402" t="s">
        <v>1139</v>
      </c>
      <c r="O499" s="401"/>
      <c r="P499" s="405"/>
      <c r="Q499" s="405"/>
      <c r="R499" s="407"/>
      <c r="S499" s="405"/>
      <c r="T499" s="405"/>
      <c r="U499" s="407"/>
      <c r="V499" s="451"/>
      <c r="W499" s="405"/>
      <c r="X499" s="406"/>
      <c r="Y499" s="379"/>
      <c r="Z499" s="379"/>
    </row>
    <row r="500" spans="1:26" ht="81.599999999999994">
      <c r="A500" s="450" t="s">
        <v>2171</v>
      </c>
      <c r="B500" s="410" t="s">
        <v>1199</v>
      </c>
      <c r="C500" s="410" t="s">
        <v>2183</v>
      </c>
      <c r="D500" s="403">
        <v>75</v>
      </c>
      <c r="E500" s="402">
        <v>70</v>
      </c>
      <c r="F500" s="402">
        <v>60</v>
      </c>
      <c r="G500" s="410">
        <v>30</v>
      </c>
      <c r="H500" s="402">
        <v>4</v>
      </c>
      <c r="I500" s="402">
        <v>2</v>
      </c>
      <c r="J500" s="402" t="s">
        <v>1137</v>
      </c>
      <c r="K500" s="402">
        <v>35</v>
      </c>
      <c r="L500" s="402" t="s">
        <v>1138</v>
      </c>
      <c r="M500" s="403" t="s">
        <v>419</v>
      </c>
      <c r="N500" s="402" t="s">
        <v>1139</v>
      </c>
      <c r="O500" s="411"/>
      <c r="P500" s="405" t="s">
        <v>2147</v>
      </c>
      <c r="Q500" s="405"/>
      <c r="R500" s="407"/>
      <c r="S500" s="405"/>
      <c r="T500" s="405"/>
      <c r="U500" s="407"/>
      <c r="V500" s="451"/>
      <c r="W500" s="405"/>
      <c r="X500" s="406"/>
      <c r="Y500" s="379"/>
      <c r="Z500" s="379"/>
    </row>
    <row r="501" spans="1:26" ht="30.6">
      <c r="A501" s="450" t="s">
        <v>2171</v>
      </c>
      <c r="B501" s="410" t="s">
        <v>1201</v>
      </c>
      <c r="C501" s="402" t="s">
        <v>2184</v>
      </c>
      <c r="D501" s="403">
        <v>75</v>
      </c>
      <c r="E501" s="402">
        <v>70</v>
      </c>
      <c r="F501" s="402">
        <v>60</v>
      </c>
      <c r="G501" s="410">
        <v>30</v>
      </c>
      <c r="H501" s="402">
        <v>4</v>
      </c>
      <c r="I501" s="402">
        <v>2</v>
      </c>
      <c r="J501" s="402" t="s">
        <v>1137</v>
      </c>
      <c r="K501" s="402">
        <v>40</v>
      </c>
      <c r="L501" s="402" t="s">
        <v>1138</v>
      </c>
      <c r="M501" s="403" t="s">
        <v>419</v>
      </c>
      <c r="N501" s="402" t="s">
        <v>1139</v>
      </c>
      <c r="O501" s="411"/>
      <c r="P501" s="405" t="s">
        <v>1203</v>
      </c>
      <c r="Q501" s="405"/>
      <c r="R501" s="407"/>
      <c r="S501" s="405"/>
      <c r="T501" s="405"/>
      <c r="U501" s="407"/>
      <c r="V501" s="451"/>
      <c r="W501" s="405"/>
      <c r="X501" s="406"/>
      <c r="Y501" s="379"/>
      <c r="Z501" s="379"/>
    </row>
    <row r="502" spans="1:26">
      <c r="A502" s="450" t="s">
        <v>2171</v>
      </c>
      <c r="B502" s="410" t="s">
        <v>1204</v>
      </c>
      <c r="C502" s="402" t="s">
        <v>2185</v>
      </c>
      <c r="D502" s="403">
        <v>75</v>
      </c>
      <c r="E502" s="402">
        <v>70</v>
      </c>
      <c r="F502" s="402">
        <v>60</v>
      </c>
      <c r="G502" s="410">
        <v>30</v>
      </c>
      <c r="H502" s="402">
        <v>4</v>
      </c>
      <c r="I502" s="402">
        <v>2</v>
      </c>
      <c r="J502" s="402" t="s">
        <v>1137</v>
      </c>
      <c r="K502" s="402">
        <v>40</v>
      </c>
      <c r="L502" s="402" t="s">
        <v>1138</v>
      </c>
      <c r="M502" s="403" t="s">
        <v>419</v>
      </c>
      <c r="N502" s="402" t="s">
        <v>1139</v>
      </c>
      <c r="O502" s="411"/>
      <c r="P502" s="405"/>
      <c r="Q502" s="405"/>
      <c r="R502" s="407"/>
      <c r="S502" s="405"/>
      <c r="T502" s="405"/>
      <c r="U502" s="407"/>
      <c r="V502" s="451"/>
      <c r="W502" s="405"/>
      <c r="X502" s="406"/>
      <c r="Y502" s="379"/>
      <c r="Z502" s="379"/>
    </row>
    <row r="503" spans="1:26" ht="20.399999999999999">
      <c r="A503" s="450" t="s">
        <v>2171</v>
      </c>
      <c r="B503" s="410" t="s">
        <v>1206</v>
      </c>
      <c r="C503" s="402" t="s">
        <v>2186</v>
      </c>
      <c r="D503" s="403">
        <v>75</v>
      </c>
      <c r="E503" s="402">
        <v>70</v>
      </c>
      <c r="F503" s="402">
        <v>60</v>
      </c>
      <c r="G503" s="410">
        <v>30</v>
      </c>
      <c r="H503" s="402">
        <v>4</v>
      </c>
      <c r="I503" s="402">
        <v>2</v>
      </c>
      <c r="J503" s="402" t="s">
        <v>1137</v>
      </c>
      <c r="K503" s="402">
        <v>35</v>
      </c>
      <c r="L503" s="402" t="s">
        <v>1138</v>
      </c>
      <c r="M503" s="403" t="s">
        <v>419</v>
      </c>
      <c r="N503" s="402" t="s">
        <v>1139</v>
      </c>
      <c r="O503" s="411"/>
      <c r="P503" s="405"/>
      <c r="Q503" s="405"/>
      <c r="R503" s="407"/>
      <c r="S503" s="405"/>
      <c r="T503" s="405"/>
      <c r="U503" s="407"/>
      <c r="V503" s="451"/>
      <c r="W503" s="405"/>
      <c r="X503" s="406"/>
      <c r="Y503" s="379"/>
      <c r="Z503" s="379"/>
    </row>
    <row r="504" spans="1:26">
      <c r="A504" s="450" t="s">
        <v>2171</v>
      </c>
      <c r="B504" s="410" t="s">
        <v>1271</v>
      </c>
      <c r="C504" s="402" t="s">
        <v>2187</v>
      </c>
      <c r="D504" s="403">
        <v>75</v>
      </c>
      <c r="E504" s="402">
        <v>70</v>
      </c>
      <c r="F504" s="402">
        <v>60</v>
      </c>
      <c r="G504" s="410">
        <v>30</v>
      </c>
      <c r="H504" s="402">
        <v>4</v>
      </c>
      <c r="I504" s="402">
        <v>2</v>
      </c>
      <c r="J504" s="402" t="s">
        <v>1137</v>
      </c>
      <c r="K504" s="402">
        <v>35</v>
      </c>
      <c r="L504" s="402" t="s">
        <v>1138</v>
      </c>
      <c r="M504" s="403" t="s">
        <v>419</v>
      </c>
      <c r="N504" s="402" t="s">
        <v>1139</v>
      </c>
      <c r="O504" s="411"/>
      <c r="P504" s="405"/>
      <c r="Q504" s="405"/>
      <c r="R504" s="407"/>
      <c r="S504" s="405"/>
      <c r="T504" s="405"/>
      <c r="U504" s="407"/>
      <c r="V504" s="451"/>
      <c r="W504" s="405"/>
      <c r="X504" s="406"/>
      <c r="Y504" s="379"/>
      <c r="Z504" s="379"/>
    </row>
    <row r="505" spans="1:26" ht="20.399999999999999">
      <c r="A505" s="450" t="s">
        <v>2171</v>
      </c>
      <c r="B505" s="410" t="s">
        <v>1208</v>
      </c>
      <c r="C505" s="402" t="s">
        <v>2188</v>
      </c>
      <c r="D505" s="403">
        <v>75</v>
      </c>
      <c r="E505" s="402">
        <v>70</v>
      </c>
      <c r="F505" s="402">
        <v>60</v>
      </c>
      <c r="G505" s="410">
        <v>30</v>
      </c>
      <c r="H505" s="402">
        <v>4</v>
      </c>
      <c r="I505" s="402">
        <v>2</v>
      </c>
      <c r="J505" s="402" t="s">
        <v>1137</v>
      </c>
      <c r="K505" s="402">
        <v>40</v>
      </c>
      <c r="L505" s="402" t="s">
        <v>1138</v>
      </c>
      <c r="M505" s="403" t="s">
        <v>419</v>
      </c>
      <c r="N505" s="402" t="s">
        <v>1139</v>
      </c>
      <c r="O505" s="411"/>
      <c r="P505" s="405"/>
      <c r="Q505" s="405"/>
      <c r="R505" s="407"/>
      <c r="S505" s="405"/>
      <c r="T505" s="405"/>
      <c r="U505" s="407"/>
      <c r="V505" s="451"/>
      <c r="W505" s="405"/>
      <c r="X505" s="406"/>
      <c r="Y505" s="379"/>
      <c r="Z505" s="379"/>
    </row>
    <row r="506" spans="1:26">
      <c r="A506" s="450" t="s">
        <v>2171</v>
      </c>
      <c r="B506" s="410" t="s">
        <v>1274</v>
      </c>
      <c r="C506" s="402" t="s">
        <v>2189</v>
      </c>
      <c r="D506" s="403">
        <v>75</v>
      </c>
      <c r="E506" s="402">
        <v>70</v>
      </c>
      <c r="F506" s="402">
        <v>60</v>
      </c>
      <c r="G506" s="410">
        <v>30</v>
      </c>
      <c r="H506" s="402">
        <v>4</v>
      </c>
      <c r="I506" s="402">
        <v>2</v>
      </c>
      <c r="J506" s="402" t="s">
        <v>1137</v>
      </c>
      <c r="K506" s="402">
        <v>40</v>
      </c>
      <c r="L506" s="402" t="s">
        <v>1138</v>
      </c>
      <c r="M506" s="403" t="s">
        <v>419</v>
      </c>
      <c r="N506" s="402" t="s">
        <v>1139</v>
      </c>
      <c r="O506" s="411"/>
      <c r="P506" s="405"/>
      <c r="Q506" s="405"/>
      <c r="R506" s="407"/>
      <c r="S506" s="405"/>
      <c r="T506" s="405"/>
      <c r="U506" s="407"/>
      <c r="V506" s="451"/>
      <c r="W506" s="405"/>
      <c r="X506" s="406"/>
      <c r="Y506" s="379"/>
      <c r="Z506" s="379"/>
    </row>
    <row r="507" spans="1:26">
      <c r="A507" s="450" t="s">
        <v>2171</v>
      </c>
      <c r="B507" s="410" t="s">
        <v>1276</v>
      </c>
      <c r="C507" s="402" t="s">
        <v>2190</v>
      </c>
      <c r="D507" s="402">
        <v>75</v>
      </c>
      <c r="E507" s="402">
        <v>70</v>
      </c>
      <c r="F507" s="402">
        <v>60</v>
      </c>
      <c r="G507" s="410">
        <v>30</v>
      </c>
      <c r="H507" s="402">
        <v>4</v>
      </c>
      <c r="I507" s="402">
        <v>2</v>
      </c>
      <c r="J507" s="402" t="s">
        <v>1137</v>
      </c>
      <c r="K507" s="402">
        <v>40</v>
      </c>
      <c r="L507" s="402" t="s">
        <v>1138</v>
      </c>
      <c r="M507" s="402" t="s">
        <v>419</v>
      </c>
      <c r="N507" s="402" t="s">
        <v>1139</v>
      </c>
      <c r="O507" s="417"/>
      <c r="P507" s="405"/>
      <c r="Q507" s="405"/>
      <c r="R507" s="407"/>
      <c r="S507" s="405"/>
      <c r="T507" s="405"/>
      <c r="U507" s="407"/>
      <c r="V507" s="451"/>
      <c r="W507" s="405"/>
      <c r="X507" s="406"/>
      <c r="Y507" s="379"/>
      <c r="Z507" s="379"/>
    </row>
    <row r="508" spans="1:26" ht="81.599999999999994">
      <c r="A508" s="450" t="s">
        <v>2171</v>
      </c>
      <c r="B508" s="410" t="s">
        <v>1210</v>
      </c>
      <c r="C508" s="402" t="s">
        <v>2191</v>
      </c>
      <c r="D508" s="402">
        <v>75</v>
      </c>
      <c r="E508" s="402">
        <v>70</v>
      </c>
      <c r="F508" s="402">
        <v>60</v>
      </c>
      <c r="G508" s="410">
        <v>30</v>
      </c>
      <c r="H508" s="402">
        <v>4</v>
      </c>
      <c r="I508" s="402">
        <v>2</v>
      </c>
      <c r="J508" s="402" t="s">
        <v>1137</v>
      </c>
      <c r="K508" s="402">
        <v>35</v>
      </c>
      <c r="L508" s="402" t="s">
        <v>1138</v>
      </c>
      <c r="M508" s="402" t="s">
        <v>419</v>
      </c>
      <c r="N508" s="402" t="s">
        <v>1139</v>
      </c>
      <c r="O508" s="417"/>
      <c r="P508" s="405" t="s">
        <v>2192</v>
      </c>
      <c r="Q508" s="405"/>
      <c r="R508" s="407"/>
      <c r="S508" s="405"/>
      <c r="T508" s="405"/>
      <c r="U508" s="407"/>
      <c r="V508" s="451"/>
      <c r="W508" s="405"/>
      <c r="X508" s="406"/>
      <c r="Y508" s="379"/>
      <c r="Z508" s="379"/>
    </row>
    <row r="509" spans="1:26" ht="20.399999999999999">
      <c r="A509" s="400" t="s">
        <v>2171</v>
      </c>
      <c r="B509" s="410" t="s">
        <v>1279</v>
      </c>
      <c r="C509" s="401" t="s">
        <v>2193</v>
      </c>
      <c r="D509" s="402" t="s">
        <v>404</v>
      </c>
      <c r="E509" s="402" t="s">
        <v>404</v>
      </c>
      <c r="F509" s="402" t="s">
        <v>404</v>
      </c>
      <c r="G509" s="410" t="s">
        <v>404</v>
      </c>
      <c r="H509" s="402" t="s">
        <v>404</v>
      </c>
      <c r="I509" s="402" t="s">
        <v>404</v>
      </c>
      <c r="J509" s="402" t="s">
        <v>404</v>
      </c>
      <c r="K509" s="402" t="s">
        <v>404</v>
      </c>
      <c r="L509" s="402" t="s">
        <v>404</v>
      </c>
      <c r="M509" s="402" t="s">
        <v>404</v>
      </c>
      <c r="N509" s="402" t="s">
        <v>404</v>
      </c>
      <c r="O509" s="402"/>
      <c r="P509" s="405" t="s">
        <v>1256</v>
      </c>
      <c r="Q509" s="405"/>
      <c r="R509" s="407"/>
      <c r="S509" s="405"/>
      <c r="T509" s="405"/>
      <c r="U509" s="407"/>
      <c r="V509" s="451"/>
      <c r="W509" s="405"/>
      <c r="X509" s="406"/>
      <c r="Y509" s="379"/>
      <c r="Z509" s="379"/>
    </row>
    <row r="510" spans="1:26" ht="51">
      <c r="A510" s="450" t="s">
        <v>2171</v>
      </c>
      <c r="B510" s="410" t="s">
        <v>1212</v>
      </c>
      <c r="C510" s="402" t="s">
        <v>2194</v>
      </c>
      <c r="D510" s="402">
        <v>75</v>
      </c>
      <c r="E510" s="402">
        <v>70</v>
      </c>
      <c r="F510" s="402">
        <v>60</v>
      </c>
      <c r="G510" s="410">
        <v>30</v>
      </c>
      <c r="H510" s="402">
        <v>10</v>
      </c>
      <c r="I510" s="402" t="s">
        <v>404</v>
      </c>
      <c r="J510" s="402" t="s">
        <v>1123</v>
      </c>
      <c r="K510" s="402">
        <v>40</v>
      </c>
      <c r="L510" s="402" t="s">
        <v>1124</v>
      </c>
      <c r="M510" s="402" t="s">
        <v>419</v>
      </c>
      <c r="N510" s="402" t="s">
        <v>1112</v>
      </c>
      <c r="O510" s="417"/>
      <c r="P510" s="405" t="s">
        <v>1125</v>
      </c>
      <c r="Q510" s="405"/>
      <c r="R510" s="407"/>
      <c r="S510" s="405"/>
      <c r="T510" s="405"/>
      <c r="U510" s="407"/>
      <c r="V510" s="451"/>
      <c r="W510" s="405"/>
      <c r="X510" s="406"/>
      <c r="Y510" s="379"/>
      <c r="Z510" s="379"/>
    </row>
    <row r="511" spans="1:26" ht="51">
      <c r="A511" s="450" t="s">
        <v>2171</v>
      </c>
      <c r="B511" s="410" t="s">
        <v>1214</v>
      </c>
      <c r="C511" s="402" t="s">
        <v>2195</v>
      </c>
      <c r="D511" s="403">
        <v>75</v>
      </c>
      <c r="E511" s="402">
        <v>70</v>
      </c>
      <c r="F511" s="402">
        <v>60</v>
      </c>
      <c r="G511" s="410">
        <v>30</v>
      </c>
      <c r="H511" s="402">
        <v>10</v>
      </c>
      <c r="I511" s="402" t="s">
        <v>404</v>
      </c>
      <c r="J511" s="402" t="s">
        <v>1123</v>
      </c>
      <c r="K511" s="402">
        <v>40</v>
      </c>
      <c r="L511" s="402" t="s">
        <v>1124</v>
      </c>
      <c r="M511" s="403" t="s">
        <v>419</v>
      </c>
      <c r="N511" s="402" t="s">
        <v>1112</v>
      </c>
      <c r="O511" s="411"/>
      <c r="P511" s="405" t="s">
        <v>1125</v>
      </c>
      <c r="Q511" s="405"/>
      <c r="R511" s="407"/>
      <c r="S511" s="405"/>
      <c r="T511" s="405"/>
      <c r="U511" s="407"/>
      <c r="V511" s="451"/>
      <c r="W511" s="405"/>
      <c r="X511" s="406"/>
      <c r="Y511" s="379"/>
      <c r="Z511" s="379"/>
    </row>
    <row r="512" spans="1:26" ht="61.2">
      <c r="A512" s="450" t="s">
        <v>2171</v>
      </c>
      <c r="B512" s="410" t="s">
        <v>1216</v>
      </c>
      <c r="C512" s="402" t="s">
        <v>2196</v>
      </c>
      <c r="D512" s="403">
        <v>75</v>
      </c>
      <c r="E512" s="402">
        <v>70</v>
      </c>
      <c r="F512" s="402">
        <v>60</v>
      </c>
      <c r="G512" s="410">
        <v>30</v>
      </c>
      <c r="H512" s="402">
        <v>4</v>
      </c>
      <c r="I512" s="402">
        <v>2</v>
      </c>
      <c r="J512" s="402" t="s">
        <v>1123</v>
      </c>
      <c r="K512" s="402">
        <v>40</v>
      </c>
      <c r="L512" s="402" t="s">
        <v>1124</v>
      </c>
      <c r="M512" s="403" t="s">
        <v>419</v>
      </c>
      <c r="N512" s="402" t="s">
        <v>1112</v>
      </c>
      <c r="O512" s="411"/>
      <c r="P512" s="405" t="s">
        <v>2197</v>
      </c>
      <c r="Q512" s="405"/>
      <c r="R512" s="407"/>
      <c r="S512" s="405"/>
      <c r="T512" s="405"/>
      <c r="U512" s="407"/>
      <c r="V512" s="451"/>
      <c r="W512" s="405"/>
      <c r="X512" s="406"/>
      <c r="Y512" s="379"/>
      <c r="Z512" s="379"/>
    </row>
    <row r="513" spans="1:31">
      <c r="A513" s="450" t="s">
        <v>2171</v>
      </c>
      <c r="B513" s="410" t="s">
        <v>1219</v>
      </c>
      <c r="C513" s="453" t="s">
        <v>2198</v>
      </c>
      <c r="D513" s="402">
        <v>75</v>
      </c>
      <c r="E513" s="402">
        <v>70</v>
      </c>
      <c r="F513" s="402">
        <v>60</v>
      </c>
      <c r="G513" s="402">
        <v>30</v>
      </c>
      <c r="H513" s="402">
        <v>6</v>
      </c>
      <c r="I513" s="402">
        <v>2</v>
      </c>
      <c r="J513" s="402" t="s">
        <v>1137</v>
      </c>
      <c r="K513" s="402">
        <v>40</v>
      </c>
      <c r="L513" s="418" t="s">
        <v>1221</v>
      </c>
      <c r="M513" s="402" t="s">
        <v>419</v>
      </c>
      <c r="N513" s="402" t="s">
        <v>1139</v>
      </c>
      <c r="O513" s="417"/>
      <c r="P513" s="405"/>
      <c r="Q513" s="405"/>
      <c r="R513" s="407"/>
      <c r="S513" s="405"/>
      <c r="T513" s="405"/>
      <c r="U513" s="407"/>
      <c r="V513" s="451"/>
      <c r="W513" s="405"/>
      <c r="X513" s="406"/>
      <c r="Y513" s="379"/>
      <c r="Z513" s="379"/>
    </row>
    <row r="514" spans="1:31" ht="81.599999999999994">
      <c r="A514" s="450" t="s">
        <v>2171</v>
      </c>
      <c r="B514" s="410" t="s">
        <v>1222</v>
      </c>
      <c r="C514" s="402" t="s">
        <v>2199</v>
      </c>
      <c r="D514" s="403">
        <v>75</v>
      </c>
      <c r="E514" s="402">
        <v>70</v>
      </c>
      <c r="F514" s="402">
        <v>60</v>
      </c>
      <c r="G514" s="410">
        <v>30</v>
      </c>
      <c r="H514" s="402">
        <v>4</v>
      </c>
      <c r="I514" s="402">
        <v>2</v>
      </c>
      <c r="J514" s="402" t="s">
        <v>1137</v>
      </c>
      <c r="K514" s="402">
        <v>35</v>
      </c>
      <c r="L514" s="402" t="s">
        <v>1138</v>
      </c>
      <c r="M514" s="403" t="s">
        <v>419</v>
      </c>
      <c r="N514" s="402" t="s">
        <v>1139</v>
      </c>
      <c r="O514" s="411"/>
      <c r="P514" s="405" t="s">
        <v>2192</v>
      </c>
      <c r="Q514" s="405"/>
      <c r="R514" s="407"/>
      <c r="S514" s="405"/>
      <c r="T514" s="405"/>
      <c r="U514" s="407"/>
      <c r="V514" s="451"/>
      <c r="W514" s="405"/>
      <c r="X514" s="406"/>
      <c r="Y514" s="379"/>
      <c r="Z514" s="379"/>
    </row>
    <row r="515" spans="1:31">
      <c r="A515" s="450" t="s">
        <v>2171</v>
      </c>
      <c r="B515" s="410" t="s">
        <v>1286</v>
      </c>
      <c r="C515" s="402" t="s">
        <v>2200</v>
      </c>
      <c r="D515" s="403">
        <v>75</v>
      </c>
      <c r="E515" s="402">
        <v>70</v>
      </c>
      <c r="F515" s="402">
        <v>60</v>
      </c>
      <c r="G515" s="402">
        <v>30</v>
      </c>
      <c r="H515" s="402">
        <v>6</v>
      </c>
      <c r="I515" s="402">
        <v>2</v>
      </c>
      <c r="J515" s="402" t="s">
        <v>1137</v>
      </c>
      <c r="K515" s="402">
        <v>40</v>
      </c>
      <c r="L515" s="418" t="s">
        <v>1221</v>
      </c>
      <c r="M515" s="403" t="s">
        <v>419</v>
      </c>
      <c r="N515" s="402" t="s">
        <v>1139</v>
      </c>
      <c r="O515" s="411"/>
      <c r="P515" s="405"/>
      <c r="Q515" s="405"/>
      <c r="R515" s="407"/>
      <c r="S515" s="405"/>
      <c r="T515" s="405"/>
      <c r="U515" s="407"/>
      <c r="V515" s="451"/>
      <c r="W515" s="405"/>
      <c r="X515" s="406"/>
      <c r="Y515" s="379"/>
      <c r="Z515" s="379"/>
    </row>
    <row r="516" spans="1:31" ht="153">
      <c r="A516" s="400" t="s">
        <v>2201</v>
      </c>
      <c r="B516" s="401" t="s">
        <v>2202</v>
      </c>
      <c r="C516" s="402" t="s">
        <v>2203</v>
      </c>
      <c r="D516" s="403">
        <v>72</v>
      </c>
      <c r="E516" s="402">
        <v>82</v>
      </c>
      <c r="F516" s="402">
        <v>60</v>
      </c>
      <c r="G516" s="402">
        <v>30</v>
      </c>
      <c r="H516" s="402">
        <v>6</v>
      </c>
      <c r="I516" s="402">
        <v>2</v>
      </c>
      <c r="J516" s="402" t="s">
        <v>1137</v>
      </c>
      <c r="K516" s="402">
        <v>35</v>
      </c>
      <c r="L516" s="418" t="s">
        <v>1138</v>
      </c>
      <c r="M516" s="403" t="s">
        <v>419</v>
      </c>
      <c r="N516" s="402" t="s">
        <v>1139</v>
      </c>
      <c r="O516" s="401"/>
      <c r="P516" s="405" t="s">
        <v>2204</v>
      </c>
      <c r="Q516" s="405" t="s">
        <v>2205</v>
      </c>
      <c r="R516" s="407"/>
      <c r="S516" s="405"/>
      <c r="T516" s="405"/>
      <c r="U516" s="407"/>
      <c r="V516" s="408"/>
      <c r="W516" s="405"/>
      <c r="X516" s="406"/>
      <c r="Y516" s="379"/>
      <c r="Z516" s="379"/>
    </row>
    <row r="517" spans="1:31" ht="153">
      <c r="A517" s="400" t="s">
        <v>2201</v>
      </c>
      <c r="B517" s="401" t="s">
        <v>2206</v>
      </c>
      <c r="C517" s="402" t="s">
        <v>2207</v>
      </c>
      <c r="D517" s="403">
        <v>72</v>
      </c>
      <c r="E517" s="402">
        <v>82</v>
      </c>
      <c r="F517" s="402">
        <v>60</v>
      </c>
      <c r="G517" s="402">
        <v>30</v>
      </c>
      <c r="H517" s="402">
        <v>6</v>
      </c>
      <c r="I517" s="402">
        <v>2</v>
      </c>
      <c r="J517" s="402" t="s">
        <v>1137</v>
      </c>
      <c r="K517" s="402">
        <v>35</v>
      </c>
      <c r="L517" s="418" t="s">
        <v>1138</v>
      </c>
      <c r="M517" s="403" t="s">
        <v>419</v>
      </c>
      <c r="N517" s="402" t="s">
        <v>1139</v>
      </c>
      <c r="O517" s="401"/>
      <c r="P517" s="405" t="s">
        <v>2204</v>
      </c>
      <c r="Q517" s="405" t="s">
        <v>2205</v>
      </c>
      <c r="R517" s="407"/>
      <c r="S517" s="405"/>
      <c r="T517" s="405"/>
      <c r="U517" s="407"/>
      <c r="V517" s="408"/>
      <c r="W517" s="405"/>
      <c r="X517" s="406"/>
      <c r="Y517" s="379"/>
      <c r="Z517" s="379"/>
    </row>
    <row r="518" spans="1:31" ht="153">
      <c r="A518" s="400" t="s">
        <v>2201</v>
      </c>
      <c r="B518" s="401" t="s">
        <v>2208</v>
      </c>
      <c r="C518" s="402" t="s">
        <v>2209</v>
      </c>
      <c r="D518" s="403">
        <v>75</v>
      </c>
      <c r="E518" s="402">
        <v>70</v>
      </c>
      <c r="F518" s="402" t="s">
        <v>404</v>
      </c>
      <c r="G518" s="402" t="s">
        <v>404</v>
      </c>
      <c r="H518" s="402">
        <v>15</v>
      </c>
      <c r="I518" s="402" t="s">
        <v>404</v>
      </c>
      <c r="J518" s="402" t="s">
        <v>1324</v>
      </c>
      <c r="K518" s="402">
        <v>40</v>
      </c>
      <c r="L518" s="402" t="s">
        <v>1339</v>
      </c>
      <c r="M518" s="403" t="s">
        <v>419</v>
      </c>
      <c r="N518" s="402" t="s">
        <v>1112</v>
      </c>
      <c r="O518" s="401"/>
      <c r="P518" s="405" t="s">
        <v>2204</v>
      </c>
      <c r="Q518" s="405" t="s">
        <v>2205</v>
      </c>
      <c r="R518" s="407"/>
      <c r="S518" s="405"/>
      <c r="T518" s="405"/>
      <c r="U518" s="407"/>
      <c r="V518" s="408"/>
      <c r="W518" s="405"/>
      <c r="X518" s="406"/>
      <c r="Y518" s="379"/>
      <c r="Z518" s="379"/>
    </row>
    <row r="519" spans="1:31" ht="265.2">
      <c r="A519" s="400" t="s">
        <v>2201</v>
      </c>
      <c r="B519" s="401" t="s">
        <v>2210</v>
      </c>
      <c r="C519" s="402" t="s">
        <v>2211</v>
      </c>
      <c r="D519" s="403">
        <v>72</v>
      </c>
      <c r="E519" s="402">
        <v>82</v>
      </c>
      <c r="F519" s="402">
        <v>60</v>
      </c>
      <c r="G519" s="402">
        <v>30</v>
      </c>
      <c r="H519" s="402">
        <v>12</v>
      </c>
      <c r="I519" s="402">
        <v>2</v>
      </c>
      <c r="J519" s="402" t="s">
        <v>1110</v>
      </c>
      <c r="K519" s="402">
        <v>35</v>
      </c>
      <c r="L519" s="402" t="s">
        <v>1339</v>
      </c>
      <c r="M519" s="403" t="s">
        <v>419</v>
      </c>
      <c r="N519" s="402" t="s">
        <v>1112</v>
      </c>
      <c r="O519" s="401"/>
      <c r="P519" s="405" t="s">
        <v>2212</v>
      </c>
      <c r="Q519" s="405" t="s">
        <v>1738</v>
      </c>
      <c r="R519" s="407" t="s">
        <v>2213</v>
      </c>
      <c r="S519" s="405" t="s">
        <v>2214</v>
      </c>
      <c r="T519" s="405" t="s">
        <v>2215</v>
      </c>
      <c r="U519" s="407"/>
      <c r="V519" s="408"/>
      <c r="W519" s="405"/>
      <c r="X519" s="406"/>
      <c r="Y519" s="379"/>
      <c r="Z519" s="379"/>
    </row>
    <row r="520" spans="1:31" ht="265.2">
      <c r="A520" s="400" t="s">
        <v>2201</v>
      </c>
      <c r="B520" s="401" t="s">
        <v>2216</v>
      </c>
      <c r="C520" s="402" t="s">
        <v>2217</v>
      </c>
      <c r="D520" s="403" t="s">
        <v>404</v>
      </c>
      <c r="E520" s="402" t="s">
        <v>404</v>
      </c>
      <c r="F520" s="402" t="s">
        <v>404</v>
      </c>
      <c r="G520" s="402" t="s">
        <v>404</v>
      </c>
      <c r="H520" s="402">
        <v>10</v>
      </c>
      <c r="I520" s="402" t="s">
        <v>404</v>
      </c>
      <c r="J520" s="402" t="s">
        <v>1110</v>
      </c>
      <c r="K520" s="402">
        <v>35</v>
      </c>
      <c r="L520" s="402" t="s">
        <v>1124</v>
      </c>
      <c r="M520" s="403" t="s">
        <v>420</v>
      </c>
      <c r="N520" s="402" t="s">
        <v>1112</v>
      </c>
      <c r="O520" s="401"/>
      <c r="P520" s="405" t="s">
        <v>2212</v>
      </c>
      <c r="Q520" s="405" t="s">
        <v>1730</v>
      </c>
      <c r="R520" s="407" t="s">
        <v>2213</v>
      </c>
      <c r="S520" s="405" t="s">
        <v>2214</v>
      </c>
      <c r="T520" s="405" t="s">
        <v>2215</v>
      </c>
      <c r="U520" s="407"/>
      <c r="V520" s="408"/>
      <c r="W520" s="405"/>
      <c r="X520" s="406"/>
      <c r="Y520" s="379"/>
      <c r="Z520" s="379"/>
    </row>
    <row r="521" spans="1:31" ht="265.2">
      <c r="A521" s="400" t="s">
        <v>2201</v>
      </c>
      <c r="B521" s="401" t="s">
        <v>2208</v>
      </c>
      <c r="C521" s="402" t="s">
        <v>2218</v>
      </c>
      <c r="D521" s="403">
        <v>75</v>
      </c>
      <c r="E521" s="402">
        <v>70</v>
      </c>
      <c r="F521" s="402" t="s">
        <v>404</v>
      </c>
      <c r="G521" s="402" t="s">
        <v>404</v>
      </c>
      <c r="H521" s="402">
        <v>15</v>
      </c>
      <c r="I521" s="402" t="s">
        <v>404</v>
      </c>
      <c r="J521" s="402" t="s">
        <v>1110</v>
      </c>
      <c r="K521" s="402">
        <v>40</v>
      </c>
      <c r="L521" s="402" t="s">
        <v>1339</v>
      </c>
      <c r="M521" s="403" t="s">
        <v>419</v>
      </c>
      <c r="N521" s="402" t="s">
        <v>1112</v>
      </c>
      <c r="O521" s="401"/>
      <c r="P521" s="405" t="s">
        <v>2212</v>
      </c>
      <c r="Q521" s="405" t="s">
        <v>1730</v>
      </c>
      <c r="R521" s="405" t="s">
        <v>2219</v>
      </c>
      <c r="S521" s="405" t="s">
        <v>2220</v>
      </c>
      <c r="T521" s="405"/>
      <c r="U521" s="407"/>
      <c r="V521" s="408"/>
      <c r="W521" s="405"/>
      <c r="X521" s="406"/>
      <c r="Y521" s="379"/>
      <c r="Z521" s="379"/>
    </row>
    <row r="522" spans="1:31" ht="30.6">
      <c r="A522" s="400" t="s">
        <v>2201</v>
      </c>
      <c r="B522" s="401" t="s">
        <v>1516</v>
      </c>
      <c r="C522" s="402" t="s">
        <v>2221</v>
      </c>
      <c r="D522" s="403">
        <v>72</v>
      </c>
      <c r="E522" s="402">
        <v>82</v>
      </c>
      <c r="F522" s="402">
        <v>60</v>
      </c>
      <c r="G522" s="402">
        <v>30</v>
      </c>
      <c r="H522" s="402">
        <v>6</v>
      </c>
      <c r="I522" s="402">
        <v>2</v>
      </c>
      <c r="J522" s="402" t="s">
        <v>1137</v>
      </c>
      <c r="K522" s="402">
        <v>35</v>
      </c>
      <c r="L522" s="402" t="s">
        <v>1138</v>
      </c>
      <c r="M522" s="403" t="s">
        <v>419</v>
      </c>
      <c r="N522" s="402" t="s">
        <v>1139</v>
      </c>
      <c r="O522" s="401"/>
      <c r="P522" s="405" t="s">
        <v>2222</v>
      </c>
      <c r="Q522" s="405"/>
      <c r="R522" s="407"/>
      <c r="S522" s="405"/>
      <c r="T522" s="405"/>
      <c r="U522" s="407"/>
      <c r="V522" s="408"/>
      <c r="W522" s="405"/>
      <c r="X522" s="406"/>
      <c r="Y522" s="379"/>
      <c r="Z522" s="379"/>
      <c r="AE522" s="383"/>
    </row>
    <row r="523" spans="1:31" ht="81.599999999999994">
      <c r="A523" s="400" t="s">
        <v>2201</v>
      </c>
      <c r="B523" s="401" t="s">
        <v>1854</v>
      </c>
      <c r="C523" s="402" t="s">
        <v>2223</v>
      </c>
      <c r="D523" s="403">
        <v>75</v>
      </c>
      <c r="E523" s="402">
        <v>70</v>
      </c>
      <c r="F523" s="402">
        <v>60</v>
      </c>
      <c r="G523" s="402">
        <v>30</v>
      </c>
      <c r="H523" s="402">
        <v>6</v>
      </c>
      <c r="I523" s="402">
        <v>2</v>
      </c>
      <c r="J523" s="402" t="s">
        <v>2224</v>
      </c>
      <c r="K523" s="402">
        <v>40</v>
      </c>
      <c r="L523" s="402" t="s">
        <v>1124</v>
      </c>
      <c r="M523" s="403" t="s">
        <v>419</v>
      </c>
      <c r="N523" s="402" t="s">
        <v>1139</v>
      </c>
      <c r="O523" s="401"/>
      <c r="P523" s="405" t="s">
        <v>2225</v>
      </c>
      <c r="Q523" s="405"/>
      <c r="R523" s="407"/>
      <c r="S523" s="405"/>
      <c r="T523" s="405"/>
      <c r="U523" s="407"/>
      <c r="V523" s="408"/>
      <c r="W523" s="405"/>
      <c r="X523" s="406"/>
      <c r="Y523" s="379"/>
      <c r="Z523" s="379"/>
      <c r="AE523" s="383"/>
    </row>
    <row r="524" spans="1:31" ht="30.6">
      <c r="A524" s="400" t="s">
        <v>2201</v>
      </c>
      <c r="B524" s="401" t="s">
        <v>2021</v>
      </c>
      <c r="C524" s="402" t="s">
        <v>2226</v>
      </c>
      <c r="D524" s="403" t="s">
        <v>404</v>
      </c>
      <c r="E524" s="402" t="s">
        <v>404</v>
      </c>
      <c r="F524" s="402" t="s">
        <v>404</v>
      </c>
      <c r="G524" s="402" t="s">
        <v>404</v>
      </c>
      <c r="H524" s="402">
        <v>4</v>
      </c>
      <c r="I524" s="402">
        <v>2</v>
      </c>
      <c r="J524" s="402" t="s">
        <v>1110</v>
      </c>
      <c r="K524" s="402">
        <v>40</v>
      </c>
      <c r="L524" s="402" t="s">
        <v>1124</v>
      </c>
      <c r="M524" s="403" t="s">
        <v>420</v>
      </c>
      <c r="N524" s="402" t="s">
        <v>1139</v>
      </c>
      <c r="O524" s="401"/>
      <c r="P524" s="405" t="s">
        <v>2227</v>
      </c>
      <c r="Q524" s="405"/>
      <c r="R524" s="407"/>
      <c r="S524" s="405"/>
      <c r="T524" s="405"/>
      <c r="U524" s="407"/>
      <c r="V524" s="408"/>
      <c r="W524" s="405"/>
      <c r="X524" s="406"/>
      <c r="Y524" s="379"/>
      <c r="Z524" s="379"/>
      <c r="AE524" s="383"/>
    </row>
    <row r="525" spans="1:31" ht="20.399999999999999">
      <c r="A525" s="400" t="s">
        <v>2201</v>
      </c>
      <c r="B525" s="401" t="s">
        <v>1245</v>
      </c>
      <c r="C525" s="402" t="s">
        <v>2228</v>
      </c>
      <c r="D525" s="403">
        <v>72</v>
      </c>
      <c r="E525" s="402">
        <v>82</v>
      </c>
      <c r="F525" s="402">
        <v>60</v>
      </c>
      <c r="G525" s="402">
        <v>30</v>
      </c>
      <c r="H525" s="402">
        <v>6</v>
      </c>
      <c r="I525" s="402">
        <v>2</v>
      </c>
      <c r="J525" s="402" t="s">
        <v>1137</v>
      </c>
      <c r="K525" s="402">
        <v>35</v>
      </c>
      <c r="L525" s="418" t="s">
        <v>1138</v>
      </c>
      <c r="M525" s="403" t="s">
        <v>419</v>
      </c>
      <c r="N525" s="402" t="s">
        <v>1139</v>
      </c>
      <c r="O525" s="401"/>
      <c r="P525" s="405"/>
      <c r="Q525" s="405"/>
      <c r="R525" s="407"/>
      <c r="S525" s="405"/>
      <c r="T525" s="405"/>
      <c r="U525" s="407"/>
      <c r="V525" s="408"/>
      <c r="W525" s="429"/>
      <c r="X525" s="430"/>
      <c r="Y525" s="388"/>
      <c r="Z525" s="388"/>
      <c r="AA525" s="388"/>
      <c r="AB525" s="388"/>
      <c r="AC525" s="388"/>
      <c r="AD525" s="388"/>
      <c r="AE525" s="383"/>
    </row>
    <row r="526" spans="1:31" ht="96" customHeight="1">
      <c r="A526" s="400" t="s">
        <v>2229</v>
      </c>
      <c r="B526" s="401" t="s">
        <v>1516</v>
      </c>
      <c r="C526" s="402" t="s">
        <v>1374</v>
      </c>
      <c r="D526" s="403">
        <v>72</v>
      </c>
      <c r="E526" s="402">
        <v>82</v>
      </c>
      <c r="F526" s="402">
        <v>60</v>
      </c>
      <c r="G526" s="402">
        <v>30</v>
      </c>
      <c r="H526" s="402">
        <v>6</v>
      </c>
      <c r="I526" s="402">
        <v>2</v>
      </c>
      <c r="J526" s="402" t="s">
        <v>1137</v>
      </c>
      <c r="K526" s="402">
        <v>40</v>
      </c>
      <c r="L526" s="418" t="s">
        <v>1138</v>
      </c>
      <c r="M526" s="403" t="s">
        <v>419</v>
      </c>
      <c r="N526" s="402" t="s">
        <v>1139</v>
      </c>
      <c r="O526" s="401"/>
      <c r="P526" s="405" t="s">
        <v>2230</v>
      </c>
      <c r="Q526" s="405" t="s">
        <v>2231</v>
      </c>
      <c r="R526" s="407"/>
      <c r="S526" s="405"/>
      <c r="T526" s="405"/>
      <c r="U526" s="407"/>
      <c r="V526" s="408"/>
      <c r="W526" s="405"/>
      <c r="X526" s="406"/>
      <c r="Y526" s="379"/>
      <c r="Z526" s="379"/>
      <c r="AE526" s="383"/>
    </row>
    <row r="527" spans="1:31">
      <c r="A527" s="400" t="s">
        <v>2229</v>
      </c>
      <c r="B527" s="401" t="s">
        <v>1405</v>
      </c>
      <c r="C527" s="402" t="s">
        <v>2232</v>
      </c>
      <c r="D527" s="403">
        <v>72</v>
      </c>
      <c r="E527" s="402">
        <v>82</v>
      </c>
      <c r="F527" s="402">
        <v>60</v>
      </c>
      <c r="G527" s="402">
        <v>30</v>
      </c>
      <c r="H527" s="402">
        <v>6</v>
      </c>
      <c r="I527" s="402">
        <v>2</v>
      </c>
      <c r="J527" s="402" t="s">
        <v>1137</v>
      </c>
      <c r="K527" s="402">
        <v>35</v>
      </c>
      <c r="L527" s="402" t="s">
        <v>1138</v>
      </c>
      <c r="M527" s="403" t="s">
        <v>419</v>
      </c>
      <c r="N527" s="402" t="s">
        <v>1139</v>
      </c>
      <c r="O527" s="401"/>
      <c r="P527" s="405"/>
      <c r="Q527" s="405"/>
      <c r="R527" s="407"/>
      <c r="S527" s="405"/>
      <c r="T527" s="405"/>
      <c r="U527" s="407"/>
      <c r="V527" s="408"/>
      <c r="W527" s="405"/>
      <c r="X527" s="406"/>
      <c r="Y527" s="379"/>
      <c r="Z527" s="379"/>
      <c r="AE527" s="383"/>
    </row>
    <row r="528" spans="1:31">
      <c r="A528" s="400" t="s">
        <v>2229</v>
      </c>
      <c r="B528" s="401" t="s">
        <v>2233</v>
      </c>
      <c r="C528" s="402" t="s">
        <v>2234</v>
      </c>
      <c r="D528" s="403">
        <v>72</v>
      </c>
      <c r="E528" s="402">
        <v>82</v>
      </c>
      <c r="F528" s="402">
        <v>60</v>
      </c>
      <c r="G528" s="402">
        <v>30</v>
      </c>
      <c r="H528" s="402">
        <v>6</v>
      </c>
      <c r="I528" s="402">
        <v>2</v>
      </c>
      <c r="J528" s="402" t="s">
        <v>1137</v>
      </c>
      <c r="K528" s="402">
        <v>35</v>
      </c>
      <c r="L528" s="418" t="s">
        <v>1145</v>
      </c>
      <c r="M528" s="403" t="s">
        <v>419</v>
      </c>
      <c r="N528" s="402" t="s">
        <v>1139</v>
      </c>
      <c r="O528" s="401"/>
      <c r="P528" s="405"/>
      <c r="Q528" s="405"/>
      <c r="R528" s="407"/>
      <c r="S528" s="405"/>
      <c r="T528" s="405"/>
      <c r="U528" s="407"/>
      <c r="V528" s="408"/>
      <c r="W528" s="405"/>
      <c r="X528" s="406"/>
      <c r="Y528" s="379"/>
      <c r="Z528" s="379"/>
      <c r="AE528" s="383"/>
    </row>
    <row r="529" spans="1:26">
      <c r="A529" s="400" t="s">
        <v>2229</v>
      </c>
      <c r="B529" s="401" t="s">
        <v>2235</v>
      </c>
      <c r="C529" s="402" t="s">
        <v>2236</v>
      </c>
      <c r="D529" s="403">
        <v>72</v>
      </c>
      <c r="E529" s="402">
        <v>82</v>
      </c>
      <c r="F529" s="402">
        <v>60</v>
      </c>
      <c r="G529" s="402">
        <v>30</v>
      </c>
      <c r="H529" s="402">
        <v>6</v>
      </c>
      <c r="I529" s="402">
        <v>2</v>
      </c>
      <c r="J529" s="402" t="s">
        <v>1137</v>
      </c>
      <c r="K529" s="402">
        <v>35</v>
      </c>
      <c r="L529" s="402" t="s">
        <v>1138</v>
      </c>
      <c r="M529" s="403" t="s">
        <v>419</v>
      </c>
      <c r="N529" s="402" t="s">
        <v>1139</v>
      </c>
      <c r="O529" s="401"/>
      <c r="P529" s="405"/>
      <c r="Q529" s="405"/>
      <c r="R529" s="407"/>
      <c r="S529" s="405"/>
      <c r="T529" s="405"/>
      <c r="U529" s="407"/>
      <c r="V529" s="408"/>
      <c r="W529" s="405"/>
      <c r="X529" s="406"/>
      <c r="Y529" s="379"/>
      <c r="Z529" s="379"/>
    </row>
    <row r="530" spans="1:26">
      <c r="A530" s="400" t="s">
        <v>2229</v>
      </c>
      <c r="B530" s="401" t="s">
        <v>1785</v>
      </c>
      <c r="C530" s="402" t="s">
        <v>2237</v>
      </c>
      <c r="D530" s="403">
        <v>72</v>
      </c>
      <c r="E530" s="402">
        <v>82</v>
      </c>
      <c r="F530" s="402">
        <v>60</v>
      </c>
      <c r="G530" s="402">
        <v>30</v>
      </c>
      <c r="H530" s="402">
        <v>6</v>
      </c>
      <c r="I530" s="402">
        <v>2</v>
      </c>
      <c r="J530" s="402" t="s">
        <v>1137</v>
      </c>
      <c r="K530" s="402">
        <v>40</v>
      </c>
      <c r="L530" s="402" t="s">
        <v>1124</v>
      </c>
      <c r="M530" s="403" t="s">
        <v>419</v>
      </c>
      <c r="N530" s="402" t="s">
        <v>1139</v>
      </c>
      <c r="O530" s="401"/>
      <c r="P530" s="405"/>
      <c r="Q530" s="405"/>
      <c r="R530" s="407"/>
      <c r="S530" s="405"/>
      <c r="T530" s="405"/>
      <c r="U530" s="407"/>
      <c r="V530" s="408"/>
      <c r="W530" s="405"/>
      <c r="X530" s="406"/>
      <c r="Y530" s="379"/>
      <c r="Z530" s="379"/>
    </row>
    <row r="531" spans="1:26" ht="40.799999999999997">
      <c r="A531" s="400" t="s">
        <v>2229</v>
      </c>
      <c r="B531" s="401" t="s">
        <v>2238</v>
      </c>
      <c r="C531" s="402" t="s">
        <v>1925</v>
      </c>
      <c r="D531" s="403">
        <v>78</v>
      </c>
      <c r="E531" s="402">
        <v>82</v>
      </c>
      <c r="F531" s="402" t="s">
        <v>404</v>
      </c>
      <c r="G531" s="402" t="s">
        <v>404</v>
      </c>
      <c r="H531" s="402">
        <v>10</v>
      </c>
      <c r="I531" s="402" t="s">
        <v>404</v>
      </c>
      <c r="J531" s="402" t="s">
        <v>1110</v>
      </c>
      <c r="K531" s="402">
        <v>40</v>
      </c>
      <c r="L531" s="402" t="s">
        <v>1124</v>
      </c>
      <c r="M531" s="403" t="s">
        <v>419</v>
      </c>
      <c r="N531" s="402" t="s">
        <v>1112</v>
      </c>
      <c r="O531" s="401"/>
      <c r="P531" s="405" t="s">
        <v>2239</v>
      </c>
      <c r="Q531" s="405"/>
      <c r="R531" s="407"/>
      <c r="S531" s="405"/>
      <c r="T531" s="405"/>
      <c r="U531" s="407"/>
      <c r="V531" s="408"/>
      <c r="W531" s="405"/>
      <c r="X531" s="406"/>
      <c r="Y531" s="379"/>
      <c r="Z531" s="379"/>
    </row>
    <row r="532" spans="1:26">
      <c r="A532" s="400" t="s">
        <v>2229</v>
      </c>
      <c r="B532" s="401" t="s">
        <v>1824</v>
      </c>
      <c r="C532" s="402" t="s">
        <v>2240</v>
      </c>
      <c r="D532" s="403">
        <v>72</v>
      </c>
      <c r="E532" s="402">
        <v>82</v>
      </c>
      <c r="F532" s="402">
        <v>60</v>
      </c>
      <c r="G532" s="402">
        <v>30</v>
      </c>
      <c r="H532" s="402">
        <v>6</v>
      </c>
      <c r="I532" s="402">
        <v>2</v>
      </c>
      <c r="J532" s="402" t="s">
        <v>1137</v>
      </c>
      <c r="K532" s="402">
        <v>35</v>
      </c>
      <c r="L532" s="402" t="s">
        <v>1138</v>
      </c>
      <c r="M532" s="403" t="s">
        <v>419</v>
      </c>
      <c r="N532" s="402" t="s">
        <v>1139</v>
      </c>
      <c r="O532" s="401"/>
      <c r="P532" s="405"/>
      <c r="Q532" s="405"/>
      <c r="R532" s="407"/>
      <c r="S532" s="405"/>
      <c r="T532" s="405"/>
      <c r="U532" s="407"/>
      <c r="V532" s="408"/>
      <c r="W532" s="405"/>
      <c r="X532" s="406"/>
      <c r="Y532" s="379"/>
      <c r="Z532" s="379"/>
    </row>
    <row r="533" spans="1:26" ht="40.799999999999997">
      <c r="A533" s="400" t="s">
        <v>2229</v>
      </c>
      <c r="B533" s="401" t="s">
        <v>2241</v>
      </c>
      <c r="C533" s="402" t="s">
        <v>462</v>
      </c>
      <c r="D533" s="403">
        <v>78</v>
      </c>
      <c r="E533" s="402">
        <v>82</v>
      </c>
      <c r="F533" s="402" t="s">
        <v>404</v>
      </c>
      <c r="G533" s="402" t="s">
        <v>404</v>
      </c>
      <c r="H533" s="402">
        <v>10</v>
      </c>
      <c r="I533" s="402" t="s">
        <v>404</v>
      </c>
      <c r="J533" s="402" t="s">
        <v>1110</v>
      </c>
      <c r="K533" s="402">
        <v>40</v>
      </c>
      <c r="L533" s="402" t="s">
        <v>1124</v>
      </c>
      <c r="M533" s="403" t="s">
        <v>419</v>
      </c>
      <c r="N533" s="402" t="s">
        <v>1112</v>
      </c>
      <c r="O533" s="401"/>
      <c r="P533" s="405" t="s">
        <v>2239</v>
      </c>
      <c r="Q533" s="405"/>
      <c r="R533" s="407"/>
      <c r="S533" s="405"/>
      <c r="T533" s="405"/>
      <c r="U533" s="407"/>
      <c r="V533" s="408"/>
      <c r="W533" s="405"/>
      <c r="X533" s="406"/>
      <c r="Y533" s="379"/>
      <c r="Z533" s="379"/>
    </row>
    <row r="534" spans="1:26" ht="51">
      <c r="A534" s="400" t="s">
        <v>2242</v>
      </c>
      <c r="B534" s="401" t="s">
        <v>2243</v>
      </c>
      <c r="C534" s="402" t="s">
        <v>2240</v>
      </c>
      <c r="D534" s="403">
        <v>72</v>
      </c>
      <c r="E534" s="402">
        <v>82</v>
      </c>
      <c r="F534" s="402">
        <v>60</v>
      </c>
      <c r="G534" s="402">
        <v>30</v>
      </c>
      <c r="H534" s="402">
        <v>6</v>
      </c>
      <c r="I534" s="402">
        <v>2</v>
      </c>
      <c r="J534" s="402" t="s">
        <v>1137</v>
      </c>
      <c r="K534" s="402">
        <v>35</v>
      </c>
      <c r="L534" s="402" t="s">
        <v>1138</v>
      </c>
      <c r="M534" s="403" t="s">
        <v>1096</v>
      </c>
      <c r="N534" s="402" t="s">
        <v>1139</v>
      </c>
      <c r="O534" s="401"/>
      <c r="P534" s="405" t="s">
        <v>1515</v>
      </c>
      <c r="Q534" s="405"/>
      <c r="R534" s="407"/>
      <c r="S534" s="405"/>
      <c r="T534" s="405"/>
      <c r="U534" s="407"/>
      <c r="V534" s="408"/>
      <c r="W534" s="405"/>
      <c r="X534" s="406"/>
      <c r="Y534" s="379"/>
      <c r="Z534" s="379"/>
    </row>
    <row r="535" spans="1:26" ht="20.399999999999999">
      <c r="A535" s="400" t="s">
        <v>2244</v>
      </c>
      <c r="B535" s="401" t="s">
        <v>2245</v>
      </c>
      <c r="C535" s="402" t="s">
        <v>2240</v>
      </c>
      <c r="D535" s="403">
        <v>72</v>
      </c>
      <c r="E535" s="402">
        <v>82</v>
      </c>
      <c r="F535" s="402">
        <v>60</v>
      </c>
      <c r="G535" s="402">
        <v>30</v>
      </c>
      <c r="H535" s="402">
        <v>6</v>
      </c>
      <c r="I535" s="402">
        <v>2</v>
      </c>
      <c r="J535" s="402" t="s">
        <v>1137</v>
      </c>
      <c r="K535" s="402">
        <v>35</v>
      </c>
      <c r="L535" s="402" t="s">
        <v>1138</v>
      </c>
      <c r="M535" s="403" t="s">
        <v>419</v>
      </c>
      <c r="N535" s="402" t="s">
        <v>1139</v>
      </c>
      <c r="O535" s="401"/>
      <c r="P535" s="405"/>
      <c r="Q535" s="405"/>
      <c r="R535" s="407"/>
      <c r="S535" s="405"/>
      <c r="T535" s="405"/>
      <c r="U535" s="407"/>
      <c r="V535" s="408"/>
      <c r="W535" s="405"/>
      <c r="X535" s="406"/>
      <c r="Y535" s="379"/>
      <c r="Z535" s="379"/>
    </row>
    <row r="536" spans="1:26" ht="102">
      <c r="A536" s="400" t="s">
        <v>2244</v>
      </c>
      <c r="B536" s="401" t="s">
        <v>2246</v>
      </c>
      <c r="C536" s="402" t="s">
        <v>2247</v>
      </c>
      <c r="D536" s="403">
        <v>66</v>
      </c>
      <c r="E536" s="402">
        <v>66</v>
      </c>
      <c r="F536" s="402">
        <v>60</v>
      </c>
      <c r="G536" s="402">
        <v>30</v>
      </c>
      <c r="H536" s="402">
        <v>15</v>
      </c>
      <c r="I536" s="402">
        <v>3</v>
      </c>
      <c r="J536" s="402" t="s">
        <v>1137</v>
      </c>
      <c r="K536" s="402">
        <v>35</v>
      </c>
      <c r="L536" s="402" t="s">
        <v>1145</v>
      </c>
      <c r="M536" s="403" t="s">
        <v>419</v>
      </c>
      <c r="N536" s="402" t="s">
        <v>1139</v>
      </c>
      <c r="O536" s="401"/>
      <c r="P536" s="405" t="s">
        <v>2248</v>
      </c>
      <c r="Q536" s="405" t="s">
        <v>2249</v>
      </c>
      <c r="R536" s="407" t="s">
        <v>2250</v>
      </c>
      <c r="S536" s="405"/>
      <c r="T536" s="405"/>
      <c r="U536" s="407"/>
      <c r="V536" s="408"/>
      <c r="W536" s="405"/>
      <c r="X536" s="406"/>
      <c r="Y536" s="379"/>
      <c r="Z536" s="379"/>
    </row>
    <row r="537" spans="1:26" ht="51">
      <c r="A537" s="400" t="s">
        <v>2244</v>
      </c>
      <c r="B537" s="401" t="s">
        <v>1311</v>
      </c>
      <c r="C537" s="402" t="s">
        <v>2251</v>
      </c>
      <c r="D537" s="403">
        <v>66</v>
      </c>
      <c r="E537" s="402">
        <v>72</v>
      </c>
      <c r="F537" s="402">
        <v>55</v>
      </c>
      <c r="G537" s="402">
        <v>30</v>
      </c>
      <c r="H537" s="402">
        <v>10</v>
      </c>
      <c r="I537" s="402">
        <v>10</v>
      </c>
      <c r="J537" s="402" t="s">
        <v>1123</v>
      </c>
      <c r="K537" s="402">
        <v>40</v>
      </c>
      <c r="L537" s="402" t="s">
        <v>1134</v>
      </c>
      <c r="M537" s="403" t="s">
        <v>419</v>
      </c>
      <c r="N537" s="402" t="s">
        <v>1112</v>
      </c>
      <c r="O537" s="401"/>
      <c r="P537" s="405" t="s">
        <v>2252</v>
      </c>
      <c r="Q537" s="405"/>
      <c r="R537" s="407"/>
      <c r="S537" s="405"/>
      <c r="T537" s="405"/>
      <c r="U537" s="407"/>
      <c r="V537" s="408"/>
      <c r="W537" s="405"/>
      <c r="X537" s="406"/>
      <c r="Y537" s="379"/>
      <c r="Z537" s="379"/>
    </row>
    <row r="538" spans="1:26" ht="20.399999999999999">
      <c r="A538" s="400" t="s">
        <v>2244</v>
      </c>
      <c r="B538" s="401" t="s">
        <v>1512</v>
      </c>
      <c r="C538" s="402" t="s">
        <v>2253</v>
      </c>
      <c r="D538" s="403">
        <v>72</v>
      </c>
      <c r="E538" s="402">
        <v>82</v>
      </c>
      <c r="F538" s="402">
        <v>60</v>
      </c>
      <c r="G538" s="402">
        <v>30</v>
      </c>
      <c r="H538" s="402">
        <v>6</v>
      </c>
      <c r="I538" s="402">
        <v>2</v>
      </c>
      <c r="J538" s="402" t="s">
        <v>1137</v>
      </c>
      <c r="K538" s="402">
        <v>35</v>
      </c>
      <c r="L538" s="402" t="s">
        <v>1138</v>
      </c>
      <c r="M538" s="403" t="s">
        <v>419</v>
      </c>
      <c r="N538" s="402" t="s">
        <v>1139</v>
      </c>
      <c r="O538" s="401"/>
      <c r="P538" s="405"/>
      <c r="Q538" s="405"/>
      <c r="R538" s="407"/>
      <c r="S538" s="405"/>
      <c r="T538" s="405"/>
      <c r="U538" s="407"/>
      <c r="V538" s="408"/>
      <c r="W538" s="405"/>
      <c r="X538" s="406"/>
      <c r="Y538" s="379"/>
      <c r="Z538" s="379"/>
    </row>
    <row r="539" spans="1:26" ht="20.399999999999999">
      <c r="A539" s="400" t="s">
        <v>2244</v>
      </c>
      <c r="B539" s="401" t="s">
        <v>2254</v>
      </c>
      <c r="C539" s="402" t="s">
        <v>2255</v>
      </c>
      <c r="D539" s="403">
        <v>72</v>
      </c>
      <c r="E539" s="402">
        <v>82</v>
      </c>
      <c r="F539" s="402">
        <v>60</v>
      </c>
      <c r="G539" s="402">
        <v>30</v>
      </c>
      <c r="H539" s="402">
        <v>6</v>
      </c>
      <c r="I539" s="402">
        <v>2</v>
      </c>
      <c r="J539" s="402" t="s">
        <v>1137</v>
      </c>
      <c r="K539" s="402">
        <v>40</v>
      </c>
      <c r="L539" s="402" t="s">
        <v>1138</v>
      </c>
      <c r="M539" s="403" t="s">
        <v>419</v>
      </c>
      <c r="N539" s="402" t="s">
        <v>1139</v>
      </c>
      <c r="O539" s="401"/>
      <c r="P539" s="405"/>
      <c r="Q539" s="405"/>
      <c r="R539" s="407"/>
      <c r="S539" s="405"/>
      <c r="T539" s="405"/>
      <c r="U539" s="407"/>
      <c r="V539" s="408"/>
      <c r="W539" s="405"/>
      <c r="X539" s="406"/>
      <c r="Y539" s="379"/>
      <c r="Z539" s="379"/>
    </row>
    <row r="540" spans="1:26" ht="20.399999999999999">
      <c r="A540" s="400" t="s">
        <v>2244</v>
      </c>
      <c r="B540" s="401" t="s">
        <v>1779</v>
      </c>
      <c r="C540" s="402" t="s">
        <v>2256</v>
      </c>
      <c r="D540" s="403">
        <v>72</v>
      </c>
      <c r="E540" s="402">
        <v>82</v>
      </c>
      <c r="F540" s="402">
        <v>60</v>
      </c>
      <c r="G540" s="402">
        <v>30</v>
      </c>
      <c r="H540" s="402">
        <v>6</v>
      </c>
      <c r="I540" s="402">
        <v>2</v>
      </c>
      <c r="J540" s="402" t="s">
        <v>1137</v>
      </c>
      <c r="K540" s="402">
        <v>40</v>
      </c>
      <c r="L540" s="402" t="s">
        <v>1138</v>
      </c>
      <c r="M540" s="403" t="s">
        <v>419</v>
      </c>
      <c r="N540" s="402" t="s">
        <v>1139</v>
      </c>
      <c r="O540" s="401"/>
      <c r="P540" s="405"/>
      <c r="Q540" s="405"/>
      <c r="R540" s="407"/>
      <c r="S540" s="405"/>
      <c r="T540" s="405"/>
      <c r="U540" s="407"/>
      <c r="V540" s="408"/>
      <c r="W540" s="405"/>
      <c r="X540" s="406"/>
      <c r="Y540" s="379"/>
      <c r="Z540" s="379"/>
    </row>
    <row r="541" spans="1:26" ht="51">
      <c r="A541" s="400" t="s">
        <v>2244</v>
      </c>
      <c r="B541" s="401" t="s">
        <v>1833</v>
      </c>
      <c r="C541" s="402" t="s">
        <v>2257</v>
      </c>
      <c r="D541" s="403">
        <v>72</v>
      </c>
      <c r="E541" s="402">
        <v>82</v>
      </c>
      <c r="F541" s="402">
        <v>60</v>
      </c>
      <c r="G541" s="402">
        <v>30</v>
      </c>
      <c r="H541" s="402">
        <v>4</v>
      </c>
      <c r="I541" s="402">
        <v>2</v>
      </c>
      <c r="J541" s="402" t="s">
        <v>1137</v>
      </c>
      <c r="K541" s="402">
        <v>40</v>
      </c>
      <c r="L541" s="402" t="s">
        <v>1138</v>
      </c>
      <c r="M541" s="403" t="s">
        <v>1096</v>
      </c>
      <c r="N541" s="402" t="s">
        <v>1139</v>
      </c>
      <c r="O541" s="401"/>
      <c r="P541" s="405" t="s">
        <v>1515</v>
      </c>
      <c r="Q541" s="405"/>
      <c r="R541" s="407"/>
      <c r="S541" s="405"/>
      <c r="T541" s="405"/>
      <c r="U541" s="407"/>
      <c r="V541" s="408"/>
      <c r="W541" s="405"/>
      <c r="X541" s="406"/>
      <c r="Y541" s="379"/>
      <c r="Z541" s="379"/>
    </row>
    <row r="542" spans="1:26" ht="20.399999999999999">
      <c r="A542" s="400" t="s">
        <v>2244</v>
      </c>
      <c r="B542" s="401" t="s">
        <v>2258</v>
      </c>
      <c r="C542" s="402" t="s">
        <v>2259</v>
      </c>
      <c r="D542" s="403">
        <v>70</v>
      </c>
      <c r="E542" s="402">
        <v>70</v>
      </c>
      <c r="F542" s="402">
        <v>55</v>
      </c>
      <c r="G542" s="402">
        <v>30</v>
      </c>
      <c r="H542" s="402">
        <v>4</v>
      </c>
      <c r="I542" s="402">
        <v>4</v>
      </c>
      <c r="J542" s="402" t="s">
        <v>1137</v>
      </c>
      <c r="K542" s="402">
        <v>40</v>
      </c>
      <c r="L542" s="402" t="s">
        <v>1145</v>
      </c>
      <c r="M542" s="403" t="s">
        <v>419</v>
      </c>
      <c r="N542" s="402" t="s">
        <v>1112</v>
      </c>
      <c r="O542" s="401"/>
      <c r="P542" s="405"/>
      <c r="Q542" s="405"/>
      <c r="R542" s="407"/>
      <c r="S542" s="405"/>
      <c r="T542" s="405"/>
      <c r="U542" s="407"/>
      <c r="V542" s="408"/>
      <c r="W542" s="405"/>
      <c r="X542" s="406"/>
      <c r="Y542" s="379"/>
      <c r="Z542" s="379"/>
    </row>
    <row r="543" spans="1:26" ht="20.399999999999999">
      <c r="A543" s="400" t="s">
        <v>2260</v>
      </c>
      <c r="B543" s="401" t="s">
        <v>2261</v>
      </c>
      <c r="C543" s="402" t="s">
        <v>2262</v>
      </c>
      <c r="D543" s="403">
        <v>72</v>
      </c>
      <c r="E543" s="402">
        <v>82</v>
      </c>
      <c r="F543" s="402">
        <v>60</v>
      </c>
      <c r="G543" s="402">
        <v>30</v>
      </c>
      <c r="H543" s="402">
        <v>6</v>
      </c>
      <c r="I543" s="402">
        <v>2</v>
      </c>
      <c r="J543" s="402" t="s">
        <v>1137</v>
      </c>
      <c r="K543" s="402">
        <v>40</v>
      </c>
      <c r="L543" s="402" t="s">
        <v>1138</v>
      </c>
      <c r="M543" s="403" t="s">
        <v>419</v>
      </c>
      <c r="N543" s="402" t="s">
        <v>1139</v>
      </c>
      <c r="O543" s="401"/>
      <c r="P543" s="405"/>
      <c r="Q543" s="405"/>
      <c r="R543" s="407"/>
      <c r="S543" s="405"/>
      <c r="T543" s="405"/>
      <c r="U543" s="407"/>
      <c r="V543" s="408"/>
      <c r="W543" s="405"/>
      <c r="X543" s="406"/>
      <c r="Y543" s="379"/>
      <c r="Z543" s="379"/>
    </row>
    <row r="544" spans="1:26" ht="20.399999999999999">
      <c r="A544" s="400" t="s">
        <v>2260</v>
      </c>
      <c r="B544" s="401" t="s">
        <v>2263</v>
      </c>
      <c r="C544" s="402" t="s">
        <v>1839</v>
      </c>
      <c r="D544" s="403">
        <v>72</v>
      </c>
      <c r="E544" s="402">
        <v>82</v>
      </c>
      <c r="F544" s="402">
        <v>60</v>
      </c>
      <c r="G544" s="402">
        <v>30</v>
      </c>
      <c r="H544" s="402">
        <v>6</v>
      </c>
      <c r="I544" s="402">
        <v>2</v>
      </c>
      <c r="J544" s="402" t="s">
        <v>1137</v>
      </c>
      <c r="K544" s="402">
        <v>40</v>
      </c>
      <c r="L544" s="402" t="s">
        <v>1138</v>
      </c>
      <c r="M544" s="403" t="s">
        <v>419</v>
      </c>
      <c r="N544" s="402" t="s">
        <v>1139</v>
      </c>
      <c r="O544" s="401"/>
      <c r="P544" s="405"/>
      <c r="Q544" s="405"/>
      <c r="R544" s="407"/>
      <c r="S544" s="405"/>
      <c r="T544" s="405"/>
      <c r="U544" s="407"/>
      <c r="V544" s="408"/>
      <c r="W544" s="405"/>
      <c r="X544" s="406"/>
      <c r="Y544" s="379"/>
      <c r="Z544" s="379"/>
    </row>
    <row r="545" spans="1:26" ht="20.399999999999999">
      <c r="A545" s="400" t="s">
        <v>2260</v>
      </c>
      <c r="B545" s="401" t="s">
        <v>1405</v>
      </c>
      <c r="C545" s="402" t="s">
        <v>2264</v>
      </c>
      <c r="D545" s="403">
        <v>72</v>
      </c>
      <c r="E545" s="402">
        <v>82</v>
      </c>
      <c r="F545" s="402">
        <v>60</v>
      </c>
      <c r="G545" s="402">
        <v>30</v>
      </c>
      <c r="H545" s="402">
        <v>6</v>
      </c>
      <c r="I545" s="402">
        <v>2</v>
      </c>
      <c r="J545" s="402" t="s">
        <v>1137</v>
      </c>
      <c r="K545" s="402">
        <v>40</v>
      </c>
      <c r="L545" s="402" t="s">
        <v>1138</v>
      </c>
      <c r="M545" s="403" t="s">
        <v>419</v>
      </c>
      <c r="N545" s="402" t="s">
        <v>1139</v>
      </c>
      <c r="O545" s="401"/>
      <c r="P545" s="405"/>
      <c r="Q545" s="405"/>
      <c r="R545" s="407"/>
      <c r="S545" s="405"/>
      <c r="T545" s="405"/>
      <c r="U545" s="407"/>
      <c r="V545" s="408"/>
      <c r="W545" s="405"/>
      <c r="X545" s="406"/>
      <c r="Y545" s="379"/>
      <c r="Z545" s="379"/>
    </row>
    <row r="546" spans="1:26" ht="20.399999999999999">
      <c r="A546" s="400" t="s">
        <v>2260</v>
      </c>
      <c r="B546" s="401" t="s">
        <v>2265</v>
      </c>
      <c r="C546" s="402" t="s">
        <v>2266</v>
      </c>
      <c r="D546" s="403">
        <v>72</v>
      </c>
      <c r="E546" s="402">
        <v>82</v>
      </c>
      <c r="F546" s="402">
        <v>60</v>
      </c>
      <c r="G546" s="402">
        <v>30</v>
      </c>
      <c r="H546" s="402">
        <v>6</v>
      </c>
      <c r="I546" s="402">
        <v>2</v>
      </c>
      <c r="J546" s="402" t="s">
        <v>1137</v>
      </c>
      <c r="K546" s="402">
        <v>40</v>
      </c>
      <c r="L546" s="402" t="s">
        <v>1138</v>
      </c>
      <c r="M546" s="403" t="s">
        <v>419</v>
      </c>
      <c r="N546" s="402" t="s">
        <v>1139</v>
      </c>
      <c r="O546" s="401"/>
      <c r="P546" s="405"/>
      <c r="Q546" s="405"/>
      <c r="R546" s="407"/>
      <c r="S546" s="405"/>
      <c r="T546" s="405"/>
      <c r="U546" s="407"/>
      <c r="V546" s="408"/>
      <c r="W546" s="405"/>
      <c r="X546" s="406"/>
      <c r="Y546" s="379"/>
      <c r="Z546" s="379"/>
    </row>
    <row r="547" spans="1:26" ht="20.399999999999999">
      <c r="A547" s="400" t="s">
        <v>2260</v>
      </c>
      <c r="B547" s="401" t="s">
        <v>1405</v>
      </c>
      <c r="C547" s="402" t="s">
        <v>2267</v>
      </c>
      <c r="D547" s="403" t="s">
        <v>404</v>
      </c>
      <c r="E547" s="402" t="s">
        <v>404</v>
      </c>
      <c r="F547" s="402" t="s">
        <v>404</v>
      </c>
      <c r="G547" s="402" t="s">
        <v>404</v>
      </c>
      <c r="H547" s="402">
        <v>10</v>
      </c>
      <c r="I547" s="402" t="s">
        <v>404</v>
      </c>
      <c r="J547" s="402" t="s">
        <v>1123</v>
      </c>
      <c r="K547" s="402">
        <v>40</v>
      </c>
      <c r="L547" s="402" t="s">
        <v>1124</v>
      </c>
      <c r="M547" s="403" t="s">
        <v>420</v>
      </c>
      <c r="N547" s="402" t="s">
        <v>1112</v>
      </c>
      <c r="O547" s="401"/>
      <c r="P547" s="405"/>
      <c r="Q547" s="405"/>
      <c r="R547" s="407"/>
      <c r="S547" s="405"/>
      <c r="T547" s="405"/>
      <c r="U547" s="407"/>
      <c r="V547" s="408"/>
      <c r="W547" s="405"/>
      <c r="X547" s="406"/>
      <c r="Y547" s="379"/>
      <c r="Z547" s="379"/>
    </row>
    <row r="548" spans="1:26" ht="51">
      <c r="A548" s="400" t="s">
        <v>2260</v>
      </c>
      <c r="B548" s="401" t="s">
        <v>1405</v>
      </c>
      <c r="C548" s="402" t="s">
        <v>2268</v>
      </c>
      <c r="D548" s="403">
        <v>72</v>
      </c>
      <c r="E548" s="402">
        <v>82</v>
      </c>
      <c r="F548" s="402">
        <v>60</v>
      </c>
      <c r="G548" s="402">
        <v>30</v>
      </c>
      <c r="H548" s="402">
        <v>4</v>
      </c>
      <c r="I548" s="402">
        <v>2</v>
      </c>
      <c r="J548" s="402" t="s">
        <v>1137</v>
      </c>
      <c r="K548" s="402">
        <v>35</v>
      </c>
      <c r="L548" s="402" t="s">
        <v>1138</v>
      </c>
      <c r="M548" s="403" t="s">
        <v>419</v>
      </c>
      <c r="N548" s="402" t="s">
        <v>1139</v>
      </c>
      <c r="O548" s="401"/>
      <c r="P548" s="405" t="s">
        <v>2269</v>
      </c>
      <c r="Q548" s="405"/>
      <c r="R548" s="407"/>
      <c r="S548" s="405"/>
      <c r="T548" s="405"/>
      <c r="U548" s="407"/>
      <c r="V548" s="408"/>
      <c r="W548" s="405"/>
      <c r="X548" s="406"/>
      <c r="Y548" s="379"/>
      <c r="Z548" s="379"/>
    </row>
    <row r="549" spans="1:26" ht="40.799999999999997">
      <c r="A549" s="400" t="s">
        <v>2260</v>
      </c>
      <c r="B549" s="401" t="s">
        <v>1405</v>
      </c>
      <c r="C549" s="402" t="s">
        <v>2270</v>
      </c>
      <c r="D549" s="403" t="s">
        <v>404</v>
      </c>
      <c r="E549" s="402" t="s">
        <v>404</v>
      </c>
      <c r="F549" s="402" t="s">
        <v>404</v>
      </c>
      <c r="G549" s="402" t="s">
        <v>404</v>
      </c>
      <c r="H549" s="402">
        <v>10</v>
      </c>
      <c r="I549" s="402" t="s">
        <v>404</v>
      </c>
      <c r="J549" s="402" t="s">
        <v>1123</v>
      </c>
      <c r="K549" s="402">
        <v>40</v>
      </c>
      <c r="L549" s="402" t="s">
        <v>1124</v>
      </c>
      <c r="M549" s="403" t="s">
        <v>420</v>
      </c>
      <c r="N549" s="402" t="s">
        <v>1112</v>
      </c>
      <c r="O549" s="401"/>
      <c r="P549" s="405" t="s">
        <v>2271</v>
      </c>
      <c r="Q549" s="405"/>
      <c r="R549" s="407"/>
      <c r="S549" s="405"/>
      <c r="T549" s="405"/>
      <c r="U549" s="407"/>
      <c r="V549" s="408"/>
      <c r="W549" s="405"/>
      <c r="X549" s="406"/>
      <c r="Y549" s="379"/>
      <c r="Z549" s="379"/>
    </row>
    <row r="550" spans="1:26" ht="61.2">
      <c r="A550" s="400" t="s">
        <v>2260</v>
      </c>
      <c r="B550" s="401" t="s">
        <v>1405</v>
      </c>
      <c r="C550" s="402" t="s">
        <v>2272</v>
      </c>
      <c r="D550" s="403">
        <v>72</v>
      </c>
      <c r="E550" s="402">
        <v>82</v>
      </c>
      <c r="F550" s="402">
        <v>60</v>
      </c>
      <c r="G550" s="402">
        <v>30</v>
      </c>
      <c r="H550" s="402">
        <v>4</v>
      </c>
      <c r="I550" s="402">
        <v>2</v>
      </c>
      <c r="J550" s="402" t="s">
        <v>1137</v>
      </c>
      <c r="K550" s="402">
        <v>35</v>
      </c>
      <c r="L550" s="402" t="s">
        <v>1138</v>
      </c>
      <c r="M550" s="403" t="s">
        <v>419</v>
      </c>
      <c r="N550" s="402" t="s">
        <v>1139</v>
      </c>
      <c r="O550" s="401"/>
      <c r="P550" s="405" t="s">
        <v>2273</v>
      </c>
      <c r="Q550" s="405"/>
      <c r="R550" s="407"/>
      <c r="S550" s="405"/>
      <c r="T550" s="405"/>
      <c r="U550" s="407"/>
      <c r="V550" s="408"/>
      <c r="W550" s="405"/>
      <c r="X550" s="406"/>
      <c r="Y550" s="379"/>
      <c r="Z550" s="379"/>
    </row>
    <row r="551" spans="1:26" ht="20.399999999999999">
      <c r="A551" s="400" t="s">
        <v>2260</v>
      </c>
      <c r="B551" s="401" t="s">
        <v>1405</v>
      </c>
      <c r="C551" s="402" t="s">
        <v>2274</v>
      </c>
      <c r="D551" s="403">
        <v>72</v>
      </c>
      <c r="E551" s="402">
        <v>82</v>
      </c>
      <c r="F551" s="402">
        <v>60</v>
      </c>
      <c r="G551" s="402">
        <v>30</v>
      </c>
      <c r="H551" s="402">
        <v>6</v>
      </c>
      <c r="I551" s="402">
        <v>2</v>
      </c>
      <c r="J551" s="402" t="s">
        <v>1137</v>
      </c>
      <c r="K551" s="402">
        <v>40</v>
      </c>
      <c r="L551" s="402" t="s">
        <v>1138</v>
      </c>
      <c r="M551" s="403" t="s">
        <v>419</v>
      </c>
      <c r="N551" s="402" t="s">
        <v>1139</v>
      </c>
      <c r="O551" s="401"/>
      <c r="P551" s="405"/>
      <c r="Q551" s="405"/>
      <c r="R551" s="407"/>
      <c r="S551" s="405"/>
      <c r="T551" s="405"/>
      <c r="U551" s="407"/>
      <c r="V551" s="408"/>
      <c r="W551" s="405"/>
      <c r="X551" s="406"/>
      <c r="Y551" s="379"/>
      <c r="Z551" s="379"/>
    </row>
    <row r="552" spans="1:26" ht="132.6">
      <c r="A552" s="400" t="s">
        <v>2260</v>
      </c>
      <c r="B552" s="401" t="s">
        <v>2241</v>
      </c>
      <c r="C552" s="402" t="s">
        <v>2275</v>
      </c>
      <c r="D552" s="403">
        <v>80</v>
      </c>
      <c r="E552" s="402">
        <v>85</v>
      </c>
      <c r="F552" s="402">
        <v>65</v>
      </c>
      <c r="G552" s="402" t="s">
        <v>404</v>
      </c>
      <c r="H552" s="402">
        <v>10</v>
      </c>
      <c r="I552" s="402" t="s">
        <v>404</v>
      </c>
      <c r="J552" s="402" t="s">
        <v>1110</v>
      </c>
      <c r="K552" s="402">
        <v>40</v>
      </c>
      <c r="L552" s="402" t="s">
        <v>1124</v>
      </c>
      <c r="M552" s="403" t="s">
        <v>419</v>
      </c>
      <c r="N552" s="402" t="s">
        <v>1112</v>
      </c>
      <c r="O552" s="401"/>
      <c r="P552" s="405" t="s">
        <v>2276</v>
      </c>
      <c r="Q552" s="405" t="s">
        <v>2277</v>
      </c>
      <c r="R552" s="407" t="s">
        <v>2278</v>
      </c>
      <c r="S552" s="405"/>
      <c r="T552" s="405"/>
      <c r="U552" s="407"/>
      <c r="V552" s="408"/>
      <c r="W552" s="405"/>
      <c r="X552" s="406"/>
      <c r="Y552" s="379"/>
      <c r="Z552" s="379"/>
    </row>
    <row r="553" spans="1:26" ht="30.6">
      <c r="A553" s="400" t="s">
        <v>2260</v>
      </c>
      <c r="B553" s="401" t="s">
        <v>2254</v>
      </c>
      <c r="C553" s="402" t="s">
        <v>2279</v>
      </c>
      <c r="D553" s="403">
        <v>78</v>
      </c>
      <c r="E553" s="402">
        <v>82</v>
      </c>
      <c r="F553" s="402" t="s">
        <v>404</v>
      </c>
      <c r="G553" s="402" t="s">
        <v>404</v>
      </c>
      <c r="H553" s="402">
        <v>6</v>
      </c>
      <c r="I553" s="402">
        <v>2</v>
      </c>
      <c r="J553" s="402" t="s">
        <v>1123</v>
      </c>
      <c r="K553" s="402">
        <v>40</v>
      </c>
      <c r="L553" s="402" t="s">
        <v>1124</v>
      </c>
      <c r="M553" s="403" t="s">
        <v>419</v>
      </c>
      <c r="N553" s="402" t="s">
        <v>1112</v>
      </c>
      <c r="O553" s="401"/>
      <c r="P553" s="405" t="s">
        <v>2280</v>
      </c>
      <c r="Q553" s="405"/>
      <c r="R553" s="407"/>
      <c r="S553" s="405"/>
      <c r="T553" s="405"/>
      <c r="U553" s="407"/>
      <c r="V553" s="408"/>
      <c r="W553" s="405"/>
      <c r="X553" s="406"/>
      <c r="Y553" s="379"/>
      <c r="Z553" s="379"/>
    </row>
    <row r="554" spans="1:26" ht="91.8">
      <c r="A554" s="400" t="s">
        <v>2281</v>
      </c>
      <c r="B554" s="401" t="s">
        <v>2282</v>
      </c>
      <c r="C554" s="402" t="s">
        <v>2283</v>
      </c>
      <c r="D554" s="403">
        <v>78</v>
      </c>
      <c r="E554" s="402">
        <v>70</v>
      </c>
      <c r="F554" s="402" t="s">
        <v>404</v>
      </c>
      <c r="G554" s="402" t="s">
        <v>404</v>
      </c>
      <c r="H554" s="402">
        <v>6</v>
      </c>
      <c r="I554" s="402" t="s">
        <v>404</v>
      </c>
      <c r="J554" s="402" t="s">
        <v>1123</v>
      </c>
      <c r="K554" s="402">
        <v>40</v>
      </c>
      <c r="L554" s="402" t="s">
        <v>1124</v>
      </c>
      <c r="M554" s="403" t="s">
        <v>419</v>
      </c>
      <c r="N554" s="402" t="s">
        <v>1112</v>
      </c>
      <c r="O554" s="401"/>
      <c r="P554" s="405" t="s">
        <v>2284</v>
      </c>
      <c r="Q554" s="405" t="s">
        <v>2285</v>
      </c>
      <c r="R554" s="407"/>
      <c r="S554" s="405"/>
      <c r="T554" s="405"/>
      <c r="U554" s="407"/>
      <c r="V554" s="408"/>
      <c r="W554" s="405"/>
      <c r="X554" s="406"/>
      <c r="Y554" s="379"/>
      <c r="Z554" s="379"/>
    </row>
    <row r="555" spans="1:26" ht="91.8">
      <c r="A555" s="400" t="s">
        <v>2281</v>
      </c>
      <c r="B555" s="401" t="s">
        <v>2013</v>
      </c>
      <c r="C555" s="402" t="s">
        <v>2286</v>
      </c>
      <c r="D555" s="403">
        <v>78</v>
      </c>
      <c r="E555" s="402">
        <v>70</v>
      </c>
      <c r="F555" s="402" t="s">
        <v>404</v>
      </c>
      <c r="G555" s="402" t="s">
        <v>404</v>
      </c>
      <c r="H555" s="402">
        <v>4</v>
      </c>
      <c r="I555" s="402" t="s">
        <v>404</v>
      </c>
      <c r="J555" s="402" t="s">
        <v>1123</v>
      </c>
      <c r="K555" s="402">
        <v>40</v>
      </c>
      <c r="L555" s="402" t="s">
        <v>1124</v>
      </c>
      <c r="M555" s="403" t="s">
        <v>419</v>
      </c>
      <c r="N555" s="402" t="s">
        <v>1112</v>
      </c>
      <c r="O555" s="411"/>
      <c r="P555" s="405" t="s">
        <v>2287</v>
      </c>
      <c r="Q555" s="405" t="s">
        <v>2285</v>
      </c>
      <c r="R555" s="407"/>
      <c r="S555" s="405"/>
      <c r="T555" s="405"/>
      <c r="U555" s="407"/>
      <c r="V555" s="408"/>
      <c r="W555" s="405"/>
      <c r="X555" s="406"/>
      <c r="Y555" s="379"/>
      <c r="Z555" s="379"/>
    </row>
    <row r="556" spans="1:26" ht="112.2">
      <c r="A556" s="400" t="s">
        <v>2281</v>
      </c>
      <c r="B556" s="401" t="s">
        <v>2288</v>
      </c>
      <c r="C556" s="402" t="s">
        <v>2289</v>
      </c>
      <c r="D556" s="403">
        <v>75</v>
      </c>
      <c r="E556" s="402">
        <v>70</v>
      </c>
      <c r="F556" s="402" t="s">
        <v>404</v>
      </c>
      <c r="G556" s="402" t="s">
        <v>404</v>
      </c>
      <c r="H556" s="402">
        <v>15</v>
      </c>
      <c r="I556" s="402" t="s">
        <v>404</v>
      </c>
      <c r="J556" s="402" t="s">
        <v>1123</v>
      </c>
      <c r="K556" s="402">
        <v>40</v>
      </c>
      <c r="L556" s="402" t="s">
        <v>1124</v>
      </c>
      <c r="M556" s="403" t="s">
        <v>419</v>
      </c>
      <c r="N556" s="402" t="s">
        <v>1112</v>
      </c>
      <c r="O556" s="401"/>
      <c r="P556" s="405" t="s">
        <v>2290</v>
      </c>
      <c r="Q556" s="405"/>
      <c r="R556" s="407"/>
      <c r="S556" s="405"/>
      <c r="T556" s="405"/>
      <c r="U556" s="407"/>
      <c r="V556" s="408"/>
      <c r="W556" s="405"/>
      <c r="X556" s="406"/>
      <c r="Y556" s="379"/>
      <c r="Z556" s="379"/>
    </row>
    <row r="557" spans="1:26" ht="234.6">
      <c r="A557" s="400" t="s">
        <v>2291</v>
      </c>
      <c r="B557" s="401"/>
      <c r="C557" s="402"/>
      <c r="D557" s="403"/>
      <c r="E557" s="402"/>
      <c r="F557" s="402"/>
      <c r="G557" s="402"/>
      <c r="H557" s="402"/>
      <c r="I557" s="402"/>
      <c r="J557" s="402"/>
      <c r="K557" s="402"/>
      <c r="L557" s="402"/>
      <c r="M557" s="403"/>
      <c r="N557" s="402"/>
      <c r="O557" s="401"/>
      <c r="P557" s="405" t="s">
        <v>2292</v>
      </c>
      <c r="Q557" s="405"/>
      <c r="R557" s="407"/>
      <c r="S557" s="405"/>
      <c r="T557" s="405"/>
      <c r="U557" s="407"/>
      <c r="V557" s="408"/>
      <c r="W557" s="405"/>
      <c r="X557" s="406"/>
      <c r="Y557" s="379"/>
      <c r="Z557" s="379"/>
    </row>
    <row r="558" spans="1:26">
      <c r="A558" s="400" t="s">
        <v>2293</v>
      </c>
      <c r="B558" s="401" t="s">
        <v>2294</v>
      </c>
      <c r="C558" s="402" t="s">
        <v>2295</v>
      </c>
      <c r="D558" s="403">
        <v>66</v>
      </c>
      <c r="E558" s="402">
        <v>72</v>
      </c>
      <c r="F558" s="402">
        <v>60</v>
      </c>
      <c r="G558" s="402">
        <v>30</v>
      </c>
      <c r="H558" s="402">
        <v>10</v>
      </c>
      <c r="I558" s="402">
        <v>10</v>
      </c>
      <c r="J558" s="402" t="s">
        <v>1123</v>
      </c>
      <c r="K558" s="402">
        <v>40</v>
      </c>
      <c r="L558" s="402" t="s">
        <v>1124</v>
      </c>
      <c r="M558" s="403" t="s">
        <v>419</v>
      </c>
      <c r="N558" s="402" t="s">
        <v>1112</v>
      </c>
      <c r="O558" s="401"/>
      <c r="P558" s="405"/>
      <c r="Q558" s="405"/>
      <c r="R558" s="407"/>
      <c r="S558" s="405"/>
      <c r="T558" s="405"/>
      <c r="U558" s="407"/>
      <c r="V558" s="408"/>
      <c r="W558" s="405"/>
      <c r="X558" s="406"/>
      <c r="Y558" s="379"/>
      <c r="Z558" s="379"/>
    </row>
    <row r="559" spans="1:26">
      <c r="A559" s="400" t="s">
        <v>2293</v>
      </c>
      <c r="B559" s="401" t="s">
        <v>2296</v>
      </c>
      <c r="C559" s="402" t="s">
        <v>2297</v>
      </c>
      <c r="D559" s="403">
        <v>66</v>
      </c>
      <c r="E559" s="402">
        <v>72</v>
      </c>
      <c r="F559" s="402">
        <v>60</v>
      </c>
      <c r="G559" s="402">
        <v>30</v>
      </c>
      <c r="H559" s="402">
        <v>10</v>
      </c>
      <c r="I559" s="402">
        <v>10</v>
      </c>
      <c r="J559" s="402" t="s">
        <v>1123</v>
      </c>
      <c r="K559" s="402">
        <v>40</v>
      </c>
      <c r="L559" s="402" t="s">
        <v>1145</v>
      </c>
      <c r="M559" s="403" t="s">
        <v>419</v>
      </c>
      <c r="N559" s="402" t="s">
        <v>1112</v>
      </c>
      <c r="O559" s="401"/>
      <c r="P559" s="405"/>
      <c r="Q559" s="405"/>
      <c r="R559" s="407"/>
      <c r="S559" s="405"/>
      <c r="T559" s="405"/>
      <c r="U559" s="407"/>
      <c r="V559" s="408"/>
      <c r="W559" s="405"/>
      <c r="X559" s="406"/>
      <c r="Y559" s="379"/>
      <c r="Z559" s="379"/>
    </row>
    <row r="560" spans="1:26">
      <c r="A560" s="400" t="s">
        <v>2293</v>
      </c>
      <c r="B560" s="401" t="s">
        <v>1488</v>
      </c>
      <c r="C560" s="402" t="s">
        <v>2298</v>
      </c>
      <c r="D560" s="403">
        <v>66</v>
      </c>
      <c r="E560" s="402">
        <v>72</v>
      </c>
      <c r="F560" s="402">
        <v>60</v>
      </c>
      <c r="G560" s="402">
        <v>30</v>
      </c>
      <c r="H560" s="402">
        <v>6</v>
      </c>
      <c r="I560" s="402">
        <v>6</v>
      </c>
      <c r="J560" s="402" t="s">
        <v>1123</v>
      </c>
      <c r="K560" s="402">
        <v>40</v>
      </c>
      <c r="L560" s="402" t="s">
        <v>1339</v>
      </c>
      <c r="M560" s="403" t="s">
        <v>419</v>
      </c>
      <c r="N560" s="402" t="s">
        <v>1112</v>
      </c>
      <c r="O560" s="401"/>
      <c r="P560" s="405"/>
      <c r="Q560" s="405"/>
      <c r="R560" s="407"/>
      <c r="S560" s="405"/>
      <c r="T560" s="405"/>
      <c r="U560" s="407"/>
      <c r="V560" s="408"/>
      <c r="W560" s="405"/>
      <c r="X560" s="406"/>
      <c r="Y560" s="379"/>
      <c r="Z560" s="379"/>
    </row>
    <row r="561" spans="1:26" ht="61.2">
      <c r="A561" s="400" t="s">
        <v>2293</v>
      </c>
      <c r="B561" s="401" t="s">
        <v>2299</v>
      </c>
      <c r="C561" s="402" t="s">
        <v>2300</v>
      </c>
      <c r="D561" s="403" t="s">
        <v>404</v>
      </c>
      <c r="E561" s="402" t="s">
        <v>404</v>
      </c>
      <c r="F561" s="402" t="s">
        <v>404</v>
      </c>
      <c r="G561" s="402" t="s">
        <v>404</v>
      </c>
      <c r="H561" s="402" t="s">
        <v>1096</v>
      </c>
      <c r="I561" s="402" t="s">
        <v>1096</v>
      </c>
      <c r="J561" s="402" t="s">
        <v>1110</v>
      </c>
      <c r="K561" s="402">
        <v>45</v>
      </c>
      <c r="L561" s="402" t="s">
        <v>1124</v>
      </c>
      <c r="M561" s="403" t="s">
        <v>420</v>
      </c>
      <c r="N561" s="402" t="s">
        <v>1112</v>
      </c>
      <c r="O561" s="401"/>
      <c r="P561" s="405" t="s">
        <v>2301</v>
      </c>
      <c r="Q561" s="405"/>
      <c r="R561" s="407"/>
      <c r="S561" s="405"/>
      <c r="T561" s="405"/>
      <c r="U561" s="407"/>
      <c r="V561" s="408"/>
      <c r="W561" s="405"/>
      <c r="X561" s="406"/>
      <c r="Y561" s="379"/>
      <c r="Z561" s="379"/>
    </row>
    <row r="562" spans="1:26" ht="71.400000000000006">
      <c r="A562" s="400" t="s">
        <v>2293</v>
      </c>
      <c r="B562" s="401" t="s">
        <v>2302</v>
      </c>
      <c r="C562" s="402" t="s">
        <v>2303</v>
      </c>
      <c r="D562" s="403">
        <v>75</v>
      </c>
      <c r="E562" s="402">
        <v>70</v>
      </c>
      <c r="F562" s="402" t="s">
        <v>404</v>
      </c>
      <c r="G562" s="402" t="s">
        <v>404</v>
      </c>
      <c r="H562" s="402">
        <v>10</v>
      </c>
      <c r="I562" s="402">
        <v>10</v>
      </c>
      <c r="J562" s="402" t="s">
        <v>1110</v>
      </c>
      <c r="K562" s="402">
        <v>40</v>
      </c>
      <c r="L562" s="402" t="s">
        <v>1124</v>
      </c>
      <c r="M562" s="403" t="s">
        <v>419</v>
      </c>
      <c r="N562" s="402" t="s">
        <v>1112</v>
      </c>
      <c r="O562" s="401"/>
      <c r="P562" s="405" t="s">
        <v>2304</v>
      </c>
      <c r="Q562" s="405" t="s">
        <v>2305</v>
      </c>
      <c r="R562" s="407"/>
      <c r="S562" s="405"/>
      <c r="T562" s="405"/>
      <c r="U562" s="407"/>
      <c r="V562" s="408"/>
      <c r="W562" s="405"/>
      <c r="X562" s="406"/>
      <c r="Y562" s="379"/>
      <c r="Z562" s="379"/>
    </row>
    <row r="563" spans="1:26" ht="51">
      <c r="A563" s="400" t="s">
        <v>2293</v>
      </c>
      <c r="B563" s="401" t="s">
        <v>2306</v>
      </c>
      <c r="C563" s="402" t="s">
        <v>2307</v>
      </c>
      <c r="D563" s="403" t="s">
        <v>404</v>
      </c>
      <c r="E563" s="402" t="s">
        <v>404</v>
      </c>
      <c r="F563" s="402" t="s">
        <v>404</v>
      </c>
      <c r="G563" s="402" t="s">
        <v>404</v>
      </c>
      <c r="H563" s="402">
        <v>10</v>
      </c>
      <c r="I563" s="402">
        <v>10</v>
      </c>
      <c r="J563" s="402" t="s">
        <v>1123</v>
      </c>
      <c r="K563" s="402">
        <v>40</v>
      </c>
      <c r="L563" s="402" t="s">
        <v>1124</v>
      </c>
      <c r="M563" s="403" t="s">
        <v>420</v>
      </c>
      <c r="N563" s="402" t="s">
        <v>1112</v>
      </c>
      <c r="O563" s="401"/>
      <c r="P563" s="405" t="s">
        <v>2308</v>
      </c>
      <c r="Q563" s="405"/>
      <c r="R563" s="407"/>
      <c r="S563" s="405"/>
      <c r="T563" s="405"/>
      <c r="U563" s="407"/>
      <c r="V563" s="408"/>
      <c r="W563" s="405"/>
      <c r="X563" s="406"/>
      <c r="Y563" s="379"/>
      <c r="Z563" s="379"/>
    </row>
    <row r="564" spans="1:26">
      <c r="A564" s="400" t="s">
        <v>2293</v>
      </c>
      <c r="B564" s="401" t="s">
        <v>2309</v>
      </c>
      <c r="C564" s="402" t="s">
        <v>2310</v>
      </c>
      <c r="D564" s="403">
        <v>75</v>
      </c>
      <c r="E564" s="402">
        <v>75</v>
      </c>
      <c r="F564" s="402" t="s">
        <v>404</v>
      </c>
      <c r="G564" s="402" t="s">
        <v>404</v>
      </c>
      <c r="H564" s="402">
        <v>10</v>
      </c>
      <c r="I564" s="402">
        <v>10</v>
      </c>
      <c r="J564" s="402" t="s">
        <v>1123</v>
      </c>
      <c r="K564" s="402">
        <v>40</v>
      </c>
      <c r="L564" s="402" t="s">
        <v>1134</v>
      </c>
      <c r="M564" s="403" t="s">
        <v>420</v>
      </c>
      <c r="N564" s="402" t="s">
        <v>1112</v>
      </c>
      <c r="O564" s="401"/>
      <c r="P564" s="405"/>
      <c r="Q564" s="405"/>
      <c r="R564" s="407"/>
      <c r="S564" s="405"/>
      <c r="T564" s="405"/>
      <c r="U564" s="407"/>
      <c r="V564" s="408"/>
      <c r="W564" s="405"/>
      <c r="X564" s="406"/>
      <c r="Y564" s="379"/>
      <c r="Z564" s="379"/>
    </row>
    <row r="565" spans="1:26" ht="61.2">
      <c r="A565" s="400" t="s">
        <v>2311</v>
      </c>
      <c r="B565" s="401" t="s">
        <v>2312</v>
      </c>
      <c r="C565" s="402" t="s">
        <v>2313</v>
      </c>
      <c r="D565" s="403">
        <v>66</v>
      </c>
      <c r="E565" s="402">
        <v>72</v>
      </c>
      <c r="F565" s="402">
        <v>60</v>
      </c>
      <c r="G565" s="402">
        <v>30</v>
      </c>
      <c r="H565" s="402">
        <v>10</v>
      </c>
      <c r="I565" s="402">
        <v>10</v>
      </c>
      <c r="J565" s="402" t="s">
        <v>1123</v>
      </c>
      <c r="K565" s="402">
        <v>40</v>
      </c>
      <c r="L565" s="402" t="s">
        <v>1124</v>
      </c>
      <c r="M565" s="403" t="s">
        <v>419</v>
      </c>
      <c r="N565" s="402" t="s">
        <v>1112</v>
      </c>
      <c r="O565" s="401"/>
      <c r="P565" s="405" t="s">
        <v>2314</v>
      </c>
      <c r="Q565" s="405"/>
      <c r="R565" s="407"/>
      <c r="S565" s="405"/>
      <c r="T565" s="405"/>
      <c r="U565" s="407"/>
      <c r="V565" s="408"/>
      <c r="W565" s="405"/>
      <c r="X565" s="406"/>
      <c r="Y565" s="379"/>
      <c r="Z565" s="379"/>
    </row>
    <row r="566" spans="1:26" ht="20.399999999999999">
      <c r="A566" s="400" t="s">
        <v>2311</v>
      </c>
      <c r="B566" s="401" t="s">
        <v>2296</v>
      </c>
      <c r="C566" s="402" t="s">
        <v>2297</v>
      </c>
      <c r="D566" s="403">
        <v>66</v>
      </c>
      <c r="E566" s="402">
        <v>72</v>
      </c>
      <c r="F566" s="402">
        <v>60</v>
      </c>
      <c r="G566" s="402">
        <v>30</v>
      </c>
      <c r="H566" s="402">
        <v>10</v>
      </c>
      <c r="I566" s="402">
        <v>10</v>
      </c>
      <c r="J566" s="402" t="s">
        <v>1123</v>
      </c>
      <c r="K566" s="402">
        <v>40</v>
      </c>
      <c r="L566" s="402" t="s">
        <v>1145</v>
      </c>
      <c r="M566" s="403" t="s">
        <v>419</v>
      </c>
      <c r="N566" s="402" t="s">
        <v>1112</v>
      </c>
      <c r="O566" s="401"/>
      <c r="P566" s="405"/>
      <c r="Q566" s="405"/>
      <c r="R566" s="407"/>
      <c r="S566" s="405"/>
      <c r="T566" s="405"/>
      <c r="U566" s="407"/>
      <c r="V566" s="408"/>
      <c r="W566" s="405"/>
      <c r="X566" s="406"/>
      <c r="Y566" s="379"/>
      <c r="Z566" s="379"/>
    </row>
    <row r="567" spans="1:26" ht="20.399999999999999">
      <c r="A567" s="400" t="s">
        <v>2311</v>
      </c>
      <c r="B567" s="401" t="s">
        <v>2315</v>
      </c>
      <c r="C567" s="402" t="s">
        <v>2316</v>
      </c>
      <c r="D567" s="403">
        <v>66</v>
      </c>
      <c r="E567" s="402">
        <v>72</v>
      </c>
      <c r="F567" s="402">
        <v>60</v>
      </c>
      <c r="G567" s="402">
        <v>30</v>
      </c>
      <c r="H567" s="402">
        <v>6</v>
      </c>
      <c r="I567" s="402">
        <v>6</v>
      </c>
      <c r="J567" s="402" t="s">
        <v>1123</v>
      </c>
      <c r="K567" s="402">
        <v>40</v>
      </c>
      <c r="L567" s="402" t="s">
        <v>1339</v>
      </c>
      <c r="M567" s="403" t="s">
        <v>419</v>
      </c>
      <c r="N567" s="402" t="s">
        <v>1112</v>
      </c>
      <c r="O567" s="401"/>
      <c r="P567" s="405"/>
      <c r="Q567" s="405"/>
      <c r="R567" s="407"/>
      <c r="S567" s="405"/>
      <c r="T567" s="405"/>
      <c r="U567" s="407"/>
      <c r="V567" s="408"/>
      <c r="W567" s="405"/>
      <c r="X567" s="406"/>
      <c r="Y567" s="379"/>
      <c r="Z567" s="379"/>
    </row>
    <row r="568" spans="1:26" ht="20.399999999999999">
      <c r="A568" s="400" t="s">
        <v>2311</v>
      </c>
      <c r="B568" s="401" t="s">
        <v>2317</v>
      </c>
      <c r="C568" s="402" t="s">
        <v>2318</v>
      </c>
      <c r="D568" s="403">
        <v>66</v>
      </c>
      <c r="E568" s="402">
        <v>72</v>
      </c>
      <c r="F568" s="402">
        <v>60</v>
      </c>
      <c r="G568" s="402">
        <v>30</v>
      </c>
      <c r="H568" s="402">
        <v>6</v>
      </c>
      <c r="I568" s="402">
        <v>6</v>
      </c>
      <c r="J568" s="402" t="s">
        <v>1123</v>
      </c>
      <c r="K568" s="402">
        <v>40</v>
      </c>
      <c r="L568" s="402" t="s">
        <v>1124</v>
      </c>
      <c r="M568" s="403" t="s">
        <v>419</v>
      </c>
      <c r="N568" s="402" t="s">
        <v>1112</v>
      </c>
      <c r="O568" s="401"/>
      <c r="P568" s="405"/>
      <c r="Q568" s="405"/>
      <c r="R568" s="407"/>
      <c r="S568" s="405"/>
      <c r="T568" s="405"/>
      <c r="U568" s="407"/>
      <c r="V568" s="408"/>
      <c r="W568" s="405"/>
      <c r="X568" s="406"/>
      <c r="Y568" s="379"/>
      <c r="Z568" s="379"/>
    </row>
    <row r="569" spans="1:26" ht="20.399999999999999">
      <c r="A569" s="400" t="s">
        <v>2311</v>
      </c>
      <c r="B569" s="401" t="s">
        <v>2319</v>
      </c>
      <c r="C569" s="402" t="s">
        <v>2320</v>
      </c>
      <c r="D569" s="403">
        <v>66</v>
      </c>
      <c r="E569" s="402">
        <v>72</v>
      </c>
      <c r="F569" s="402">
        <v>60</v>
      </c>
      <c r="G569" s="402">
        <v>30</v>
      </c>
      <c r="H569" s="402">
        <v>4</v>
      </c>
      <c r="I569" s="402">
        <v>4</v>
      </c>
      <c r="J569" s="402" t="s">
        <v>1123</v>
      </c>
      <c r="K569" s="402">
        <v>40</v>
      </c>
      <c r="L569" s="402" t="s">
        <v>1145</v>
      </c>
      <c r="M569" s="403" t="s">
        <v>419</v>
      </c>
      <c r="N569" s="402" t="s">
        <v>1112</v>
      </c>
      <c r="O569" s="401"/>
      <c r="P569" s="405"/>
      <c r="Q569" s="405"/>
      <c r="R569" s="407"/>
      <c r="S569" s="405"/>
      <c r="T569" s="405"/>
      <c r="U569" s="407"/>
      <c r="V569" s="408"/>
      <c r="W569" s="405"/>
      <c r="X569" s="406"/>
      <c r="Y569" s="379"/>
      <c r="Z569" s="379"/>
    </row>
    <row r="570" spans="1:26" ht="20.399999999999999">
      <c r="A570" s="400" t="s">
        <v>2321</v>
      </c>
      <c r="B570" s="401" t="s">
        <v>1492</v>
      </c>
      <c r="C570" s="402" t="s">
        <v>2322</v>
      </c>
      <c r="D570" s="403">
        <v>66</v>
      </c>
      <c r="E570" s="402">
        <v>72</v>
      </c>
      <c r="F570" s="402">
        <v>60</v>
      </c>
      <c r="G570" s="402">
        <v>30</v>
      </c>
      <c r="H570" s="402">
        <v>4</v>
      </c>
      <c r="I570" s="402">
        <v>4</v>
      </c>
      <c r="J570" s="402" t="s">
        <v>1123</v>
      </c>
      <c r="K570" s="402">
        <v>40</v>
      </c>
      <c r="L570" s="402" t="s">
        <v>1899</v>
      </c>
      <c r="M570" s="403" t="s">
        <v>419</v>
      </c>
      <c r="N570" s="402" t="s">
        <v>1112</v>
      </c>
      <c r="O570" s="401"/>
      <c r="P570" s="405"/>
      <c r="Q570" s="405"/>
      <c r="R570" s="407"/>
      <c r="S570" s="405"/>
      <c r="T570" s="405"/>
      <c r="U570" s="407"/>
      <c r="V570" s="408"/>
      <c r="W570" s="405"/>
      <c r="X570" s="406"/>
      <c r="Y570" s="379"/>
      <c r="Z570" s="379"/>
    </row>
    <row r="571" spans="1:26" ht="20.399999999999999">
      <c r="A571" s="400" t="s">
        <v>2321</v>
      </c>
      <c r="B571" s="401" t="s">
        <v>2323</v>
      </c>
      <c r="C571" s="402" t="s">
        <v>2324</v>
      </c>
      <c r="D571" s="403">
        <v>66</v>
      </c>
      <c r="E571" s="402">
        <v>75</v>
      </c>
      <c r="F571" s="402">
        <v>60</v>
      </c>
      <c r="G571" s="402">
        <v>30</v>
      </c>
      <c r="H571" s="402">
        <v>4</v>
      </c>
      <c r="I571" s="402">
        <v>4</v>
      </c>
      <c r="J571" s="402" t="s">
        <v>1123</v>
      </c>
      <c r="K571" s="402">
        <v>40</v>
      </c>
      <c r="L571" s="402" t="s">
        <v>1145</v>
      </c>
      <c r="M571" s="403" t="s">
        <v>419</v>
      </c>
      <c r="N571" s="402" t="s">
        <v>1112</v>
      </c>
      <c r="O571" s="401"/>
      <c r="P571" s="405"/>
      <c r="Q571" s="405"/>
      <c r="R571" s="407"/>
      <c r="S571" s="405"/>
      <c r="T571" s="405"/>
      <c r="U571" s="407"/>
      <c r="V571" s="408"/>
      <c r="W571" s="405"/>
      <c r="X571" s="406"/>
      <c r="Y571" s="379"/>
      <c r="Z571" s="379"/>
    </row>
    <row r="572" spans="1:26">
      <c r="A572" s="400" t="s">
        <v>2325</v>
      </c>
      <c r="B572" s="401" t="s">
        <v>1490</v>
      </c>
      <c r="C572" s="402" t="s">
        <v>2326</v>
      </c>
      <c r="D572" s="403">
        <v>66</v>
      </c>
      <c r="E572" s="402">
        <v>75</v>
      </c>
      <c r="F572" s="402">
        <v>60</v>
      </c>
      <c r="G572" s="402">
        <v>30</v>
      </c>
      <c r="H572" s="402">
        <v>10</v>
      </c>
      <c r="I572" s="402">
        <v>10</v>
      </c>
      <c r="J572" s="402" t="s">
        <v>1123</v>
      </c>
      <c r="K572" s="402">
        <v>40</v>
      </c>
      <c r="L572" s="402" t="s">
        <v>1899</v>
      </c>
      <c r="M572" s="403" t="s">
        <v>419</v>
      </c>
      <c r="N572" s="402" t="s">
        <v>1112</v>
      </c>
      <c r="O572" s="401"/>
      <c r="P572" s="405"/>
      <c r="Q572" s="405"/>
      <c r="R572" s="407"/>
      <c r="S572" s="405"/>
      <c r="T572" s="405"/>
      <c r="U572" s="407"/>
      <c r="V572" s="408"/>
      <c r="W572" s="405"/>
      <c r="X572" s="406"/>
      <c r="Y572" s="379"/>
      <c r="Z572" s="379"/>
    </row>
    <row r="573" spans="1:26" ht="51">
      <c r="A573" s="400" t="s">
        <v>2325</v>
      </c>
      <c r="B573" s="401" t="s">
        <v>1490</v>
      </c>
      <c r="C573" s="402" t="s">
        <v>2327</v>
      </c>
      <c r="D573" s="403">
        <v>85</v>
      </c>
      <c r="E573" s="402" t="s">
        <v>404</v>
      </c>
      <c r="F573" s="402" t="s">
        <v>404</v>
      </c>
      <c r="G573" s="402" t="s">
        <v>404</v>
      </c>
      <c r="H573" s="402">
        <v>10</v>
      </c>
      <c r="I573" s="402">
        <v>10</v>
      </c>
      <c r="J573" s="402" t="s">
        <v>1123</v>
      </c>
      <c r="K573" s="402">
        <v>45</v>
      </c>
      <c r="L573" s="402" t="s">
        <v>1124</v>
      </c>
      <c r="M573" s="403" t="s">
        <v>420</v>
      </c>
      <c r="N573" s="402" t="s">
        <v>1112</v>
      </c>
      <c r="O573" s="401"/>
      <c r="P573" s="405" t="s">
        <v>2328</v>
      </c>
      <c r="Q573" s="405"/>
      <c r="R573" s="407"/>
      <c r="S573" s="405"/>
      <c r="T573" s="405"/>
      <c r="U573" s="407"/>
      <c r="V573" s="408"/>
      <c r="W573" s="405"/>
      <c r="X573" s="406"/>
      <c r="Y573" s="379"/>
      <c r="Z573" s="379"/>
    </row>
    <row r="574" spans="1:26">
      <c r="A574" s="400" t="s">
        <v>2325</v>
      </c>
      <c r="B574" s="401" t="s">
        <v>2329</v>
      </c>
      <c r="C574" s="402" t="s">
        <v>2330</v>
      </c>
      <c r="D574" s="403">
        <v>66</v>
      </c>
      <c r="E574" s="402">
        <v>75</v>
      </c>
      <c r="F574" s="402">
        <v>60</v>
      </c>
      <c r="G574" s="402">
        <v>30</v>
      </c>
      <c r="H574" s="402">
        <v>10</v>
      </c>
      <c r="I574" s="402">
        <v>10</v>
      </c>
      <c r="J574" s="402" t="s">
        <v>1123</v>
      </c>
      <c r="K574" s="402">
        <v>40</v>
      </c>
      <c r="L574" s="402" t="s">
        <v>1899</v>
      </c>
      <c r="M574" s="403" t="s">
        <v>419</v>
      </c>
      <c r="N574" s="402" t="s">
        <v>1112</v>
      </c>
      <c r="O574" s="401"/>
      <c r="P574" s="405"/>
      <c r="Q574" s="405"/>
      <c r="R574" s="407"/>
      <c r="S574" s="405"/>
      <c r="T574" s="405"/>
      <c r="U574" s="407"/>
      <c r="V574" s="408"/>
      <c r="W574" s="405"/>
      <c r="X574" s="406"/>
      <c r="Y574" s="379"/>
      <c r="Z574" s="379"/>
    </row>
    <row r="575" spans="1:26" ht="132.6">
      <c r="A575" s="400" t="s">
        <v>2325</v>
      </c>
      <c r="B575" s="401" t="s">
        <v>2331</v>
      </c>
      <c r="C575" s="402" t="s">
        <v>2332</v>
      </c>
      <c r="D575" s="403">
        <v>66</v>
      </c>
      <c r="E575" s="402">
        <v>75</v>
      </c>
      <c r="F575" s="402">
        <v>60</v>
      </c>
      <c r="G575" s="402">
        <v>30</v>
      </c>
      <c r="H575" s="402">
        <v>10</v>
      </c>
      <c r="I575" s="402">
        <v>10</v>
      </c>
      <c r="J575" s="402" t="s">
        <v>1110</v>
      </c>
      <c r="K575" s="402">
        <v>40</v>
      </c>
      <c r="L575" s="402" t="s">
        <v>1124</v>
      </c>
      <c r="M575" s="403" t="s">
        <v>419</v>
      </c>
      <c r="N575" s="402" t="s">
        <v>1112</v>
      </c>
      <c r="O575" s="401"/>
      <c r="P575" s="405" t="s">
        <v>2333</v>
      </c>
      <c r="Q575" s="405" t="s">
        <v>2334</v>
      </c>
      <c r="R575" s="407" t="s">
        <v>2335</v>
      </c>
      <c r="S575" s="405"/>
      <c r="T575" s="405"/>
      <c r="U575" s="407"/>
      <c r="V575" s="408"/>
      <c r="W575" s="405"/>
      <c r="X575" s="406"/>
      <c r="Y575" s="379"/>
      <c r="Z575" s="379"/>
    </row>
    <row r="576" spans="1:26" ht="132.6">
      <c r="A576" s="400" t="s">
        <v>2325</v>
      </c>
      <c r="B576" s="401" t="s">
        <v>2336</v>
      </c>
      <c r="C576" s="402" t="s">
        <v>2337</v>
      </c>
      <c r="D576" s="403">
        <v>66</v>
      </c>
      <c r="E576" s="402">
        <v>75</v>
      </c>
      <c r="F576" s="402">
        <v>60</v>
      </c>
      <c r="G576" s="402">
        <v>30</v>
      </c>
      <c r="H576" s="402">
        <v>10</v>
      </c>
      <c r="I576" s="402">
        <v>10</v>
      </c>
      <c r="J576" s="402" t="s">
        <v>1110</v>
      </c>
      <c r="K576" s="402">
        <v>40</v>
      </c>
      <c r="L576" s="402" t="s">
        <v>1124</v>
      </c>
      <c r="M576" s="403" t="s">
        <v>419</v>
      </c>
      <c r="N576" s="402" t="s">
        <v>1112</v>
      </c>
      <c r="O576" s="401"/>
      <c r="P576" s="405" t="s">
        <v>2333</v>
      </c>
      <c r="Q576" s="405" t="s">
        <v>2334</v>
      </c>
      <c r="R576" s="407" t="s">
        <v>2335</v>
      </c>
      <c r="S576" s="405"/>
      <c r="T576" s="405"/>
      <c r="U576" s="407"/>
      <c r="V576" s="408"/>
      <c r="W576" s="405"/>
      <c r="X576" s="406"/>
      <c r="Y576" s="379"/>
      <c r="Z576" s="379"/>
    </row>
    <row r="577" spans="1:29">
      <c r="A577" s="400" t="s">
        <v>2325</v>
      </c>
      <c r="B577" s="401" t="s">
        <v>2338</v>
      </c>
      <c r="C577" s="402" t="s">
        <v>2339</v>
      </c>
      <c r="D577" s="403">
        <v>66</v>
      </c>
      <c r="E577" s="402">
        <v>75</v>
      </c>
      <c r="F577" s="402">
        <v>60</v>
      </c>
      <c r="G577" s="402">
        <v>30</v>
      </c>
      <c r="H577" s="402">
        <v>10</v>
      </c>
      <c r="I577" s="402">
        <v>10</v>
      </c>
      <c r="J577" s="402" t="s">
        <v>1123</v>
      </c>
      <c r="K577" s="402">
        <v>40</v>
      </c>
      <c r="L577" s="402" t="s">
        <v>1899</v>
      </c>
      <c r="M577" s="403" t="s">
        <v>419</v>
      </c>
      <c r="N577" s="402" t="s">
        <v>1112</v>
      </c>
      <c r="O577" s="401"/>
      <c r="P577" s="405"/>
      <c r="Q577" s="405"/>
      <c r="R577" s="407"/>
      <c r="S577" s="405"/>
      <c r="T577" s="405"/>
      <c r="U577" s="407"/>
      <c r="V577" s="408"/>
      <c r="W577" s="405"/>
      <c r="X577" s="406"/>
      <c r="Y577" s="379"/>
      <c r="Z577" s="379"/>
    </row>
    <row r="578" spans="1:29" ht="71.400000000000006">
      <c r="A578" s="400" t="s">
        <v>2325</v>
      </c>
      <c r="B578" s="401" t="s">
        <v>2338</v>
      </c>
      <c r="C578" s="402" t="s">
        <v>2340</v>
      </c>
      <c r="D578" s="403">
        <v>66</v>
      </c>
      <c r="E578" s="402">
        <v>75</v>
      </c>
      <c r="F578" s="402">
        <v>60</v>
      </c>
      <c r="G578" s="402">
        <v>30</v>
      </c>
      <c r="H578" s="402">
        <v>10</v>
      </c>
      <c r="I578" s="402">
        <v>10</v>
      </c>
      <c r="J578" s="402" t="s">
        <v>1123</v>
      </c>
      <c r="K578" s="402">
        <v>40</v>
      </c>
      <c r="L578" s="402" t="s">
        <v>1899</v>
      </c>
      <c r="M578" s="403" t="s">
        <v>419</v>
      </c>
      <c r="N578" s="402" t="s">
        <v>1112</v>
      </c>
      <c r="O578" s="401"/>
      <c r="P578" s="405" t="s">
        <v>2341</v>
      </c>
      <c r="Q578" s="405"/>
      <c r="R578" s="407"/>
      <c r="S578" s="405"/>
      <c r="T578" s="405"/>
      <c r="U578" s="407"/>
      <c r="V578" s="408"/>
      <c r="W578" s="405"/>
      <c r="X578" s="406"/>
      <c r="Y578" s="379"/>
      <c r="Z578" s="379"/>
    </row>
    <row r="579" spans="1:29" ht="51">
      <c r="A579" s="400" t="s">
        <v>2325</v>
      </c>
      <c r="B579" s="401" t="s">
        <v>2342</v>
      </c>
      <c r="C579" s="402" t="s">
        <v>2343</v>
      </c>
      <c r="D579" s="403">
        <v>85</v>
      </c>
      <c r="E579" s="402" t="s">
        <v>404</v>
      </c>
      <c r="F579" s="402" t="s">
        <v>404</v>
      </c>
      <c r="G579" s="402" t="s">
        <v>404</v>
      </c>
      <c r="H579" s="402">
        <v>10</v>
      </c>
      <c r="I579" s="402">
        <v>10</v>
      </c>
      <c r="J579" s="402" t="s">
        <v>1123</v>
      </c>
      <c r="K579" s="402">
        <v>45</v>
      </c>
      <c r="L579" s="402" t="s">
        <v>1124</v>
      </c>
      <c r="M579" s="403" t="s">
        <v>420</v>
      </c>
      <c r="N579" s="402" t="s">
        <v>1112</v>
      </c>
      <c r="O579" s="401"/>
      <c r="P579" s="405" t="s">
        <v>2328</v>
      </c>
      <c r="Q579" s="405"/>
      <c r="R579" s="407"/>
      <c r="S579" s="405"/>
      <c r="T579" s="405"/>
      <c r="U579" s="407"/>
      <c r="V579" s="408"/>
      <c r="W579" s="405"/>
      <c r="X579" s="406"/>
      <c r="Y579" s="379"/>
      <c r="Z579" s="379"/>
    </row>
    <row r="580" spans="1:29" ht="20.399999999999999">
      <c r="A580" s="400" t="s">
        <v>2344</v>
      </c>
      <c r="B580" s="401" t="s">
        <v>1311</v>
      </c>
      <c r="C580" s="402" t="s">
        <v>2345</v>
      </c>
      <c r="D580" s="403">
        <v>75</v>
      </c>
      <c r="E580" s="402">
        <v>70</v>
      </c>
      <c r="F580" s="402">
        <v>60</v>
      </c>
      <c r="G580" s="402">
        <v>30</v>
      </c>
      <c r="H580" s="402">
        <v>6</v>
      </c>
      <c r="I580" s="402">
        <v>6</v>
      </c>
      <c r="J580" s="402" t="s">
        <v>1123</v>
      </c>
      <c r="K580" s="402">
        <v>40</v>
      </c>
      <c r="L580" s="402" t="s">
        <v>1145</v>
      </c>
      <c r="M580" s="403" t="s">
        <v>419</v>
      </c>
      <c r="N580" s="402" t="s">
        <v>1112</v>
      </c>
      <c r="O580" s="401"/>
      <c r="P580" s="405"/>
      <c r="Q580" s="405"/>
      <c r="R580" s="407"/>
      <c r="S580" s="405"/>
      <c r="T580" s="405"/>
      <c r="U580" s="407"/>
      <c r="V580" s="408"/>
      <c r="W580" s="405"/>
      <c r="X580" s="406"/>
      <c r="Y580" s="379"/>
      <c r="Z580" s="379"/>
    </row>
    <row r="581" spans="1:29" ht="20.399999999999999">
      <c r="A581" s="400" t="s">
        <v>2344</v>
      </c>
      <c r="B581" s="401" t="s">
        <v>2338</v>
      </c>
      <c r="C581" s="402" t="s">
        <v>2346</v>
      </c>
      <c r="D581" s="403">
        <v>75</v>
      </c>
      <c r="E581" s="402">
        <v>70</v>
      </c>
      <c r="F581" s="402">
        <v>60</v>
      </c>
      <c r="G581" s="402">
        <v>30</v>
      </c>
      <c r="H581" s="402">
        <v>4</v>
      </c>
      <c r="I581" s="402">
        <v>4</v>
      </c>
      <c r="J581" s="402" t="s">
        <v>1123</v>
      </c>
      <c r="K581" s="402">
        <v>40</v>
      </c>
      <c r="L581" s="402" t="s">
        <v>1138</v>
      </c>
      <c r="M581" s="403" t="s">
        <v>419</v>
      </c>
      <c r="N581" s="402" t="s">
        <v>1112</v>
      </c>
      <c r="O581" s="401"/>
      <c r="P581" s="405"/>
      <c r="Q581" s="405"/>
      <c r="R581" s="407"/>
      <c r="S581" s="405"/>
      <c r="T581" s="405"/>
      <c r="U581" s="407"/>
      <c r="V581" s="408"/>
      <c r="W581" s="405"/>
      <c r="X581" s="406"/>
      <c r="Y581" s="379"/>
      <c r="Z581" s="379"/>
    </row>
    <row r="582" spans="1:29" ht="20.399999999999999">
      <c r="A582" s="400" t="s">
        <v>2344</v>
      </c>
      <c r="B582" s="401" t="s">
        <v>1960</v>
      </c>
      <c r="C582" s="402" t="s">
        <v>2347</v>
      </c>
      <c r="D582" s="403">
        <v>75</v>
      </c>
      <c r="E582" s="402">
        <v>70</v>
      </c>
      <c r="F582" s="402">
        <v>60</v>
      </c>
      <c r="G582" s="402">
        <v>30</v>
      </c>
      <c r="H582" s="402">
        <v>4</v>
      </c>
      <c r="I582" s="402">
        <v>4</v>
      </c>
      <c r="J582" s="402" t="s">
        <v>1123</v>
      </c>
      <c r="K582" s="402">
        <v>40</v>
      </c>
      <c r="L582" s="402" t="s">
        <v>1145</v>
      </c>
      <c r="M582" s="403" t="s">
        <v>419</v>
      </c>
      <c r="N582" s="402" t="s">
        <v>1112</v>
      </c>
      <c r="O582" s="401"/>
      <c r="P582" s="405"/>
      <c r="Q582" s="405"/>
      <c r="R582" s="407"/>
      <c r="S582" s="405"/>
      <c r="T582" s="405"/>
      <c r="U582" s="407"/>
      <c r="V582" s="408"/>
      <c r="W582" s="405"/>
      <c r="X582" s="406"/>
      <c r="Y582" s="379"/>
      <c r="Z582" s="379"/>
    </row>
    <row r="583" spans="1:29" ht="20.399999999999999">
      <c r="A583" s="400" t="s">
        <v>2344</v>
      </c>
      <c r="B583" s="401" t="s">
        <v>2348</v>
      </c>
      <c r="C583" s="402" t="s">
        <v>2349</v>
      </c>
      <c r="D583" s="403">
        <v>66</v>
      </c>
      <c r="E583" s="402">
        <v>72</v>
      </c>
      <c r="F583" s="402">
        <v>60</v>
      </c>
      <c r="G583" s="402">
        <v>30</v>
      </c>
      <c r="H583" s="402">
        <v>4</v>
      </c>
      <c r="I583" s="402">
        <v>4</v>
      </c>
      <c r="J583" s="402" t="s">
        <v>1123</v>
      </c>
      <c r="K583" s="402">
        <v>40</v>
      </c>
      <c r="L583" s="402" t="s">
        <v>1145</v>
      </c>
      <c r="M583" s="403" t="s">
        <v>419</v>
      </c>
      <c r="N583" s="402" t="s">
        <v>1112</v>
      </c>
      <c r="O583" s="401"/>
      <c r="P583" s="405"/>
      <c r="Q583" s="405"/>
      <c r="R583" s="407"/>
      <c r="S583" s="405"/>
      <c r="T583" s="405"/>
      <c r="U583" s="407"/>
      <c r="V583" s="408"/>
      <c r="W583" s="405"/>
      <c r="X583" s="406"/>
      <c r="Y583" s="379"/>
      <c r="Z583" s="379"/>
    </row>
    <row r="584" spans="1:29" ht="20.399999999999999">
      <c r="A584" s="400" t="s">
        <v>2344</v>
      </c>
      <c r="B584" s="401" t="s">
        <v>2350</v>
      </c>
      <c r="C584" s="402" t="s">
        <v>2351</v>
      </c>
      <c r="D584" s="403">
        <v>66</v>
      </c>
      <c r="E584" s="402">
        <v>75</v>
      </c>
      <c r="F584" s="402">
        <v>60</v>
      </c>
      <c r="G584" s="402">
        <v>30</v>
      </c>
      <c r="H584" s="402">
        <v>4</v>
      </c>
      <c r="I584" s="402">
        <v>4</v>
      </c>
      <c r="J584" s="402" t="s">
        <v>1123</v>
      </c>
      <c r="K584" s="402">
        <v>40</v>
      </c>
      <c r="L584" s="402" t="s">
        <v>1145</v>
      </c>
      <c r="M584" s="403" t="s">
        <v>419</v>
      </c>
      <c r="N584" s="402" t="s">
        <v>1112</v>
      </c>
      <c r="O584" s="401"/>
      <c r="P584" s="405"/>
      <c r="Q584" s="405"/>
      <c r="R584" s="407"/>
      <c r="S584" s="405"/>
      <c r="T584" s="405"/>
      <c r="U584" s="407"/>
      <c r="V584" s="408"/>
      <c r="W584" s="405"/>
      <c r="X584" s="406"/>
      <c r="Y584" s="379"/>
      <c r="Z584" s="379"/>
    </row>
    <row r="585" spans="1:29" ht="91.8">
      <c r="A585" s="400" t="s">
        <v>2344</v>
      </c>
      <c r="B585" s="401" t="s">
        <v>2352</v>
      </c>
      <c r="C585" s="402" t="s">
        <v>2353</v>
      </c>
      <c r="D585" s="403">
        <v>66</v>
      </c>
      <c r="E585" s="402">
        <v>72</v>
      </c>
      <c r="F585" s="402">
        <v>60</v>
      </c>
      <c r="G585" s="402">
        <v>30</v>
      </c>
      <c r="H585" s="402">
        <v>4</v>
      </c>
      <c r="I585" s="402">
        <v>4</v>
      </c>
      <c r="J585" s="402" t="s">
        <v>1123</v>
      </c>
      <c r="K585" s="402">
        <v>40</v>
      </c>
      <c r="L585" s="402" t="s">
        <v>1145</v>
      </c>
      <c r="M585" s="403" t="s">
        <v>419</v>
      </c>
      <c r="N585" s="402" t="s">
        <v>1112</v>
      </c>
      <c r="O585" s="401"/>
      <c r="P585" s="405" t="s">
        <v>2354</v>
      </c>
      <c r="Q585" s="405" t="s">
        <v>2355</v>
      </c>
      <c r="R585" s="407" t="s">
        <v>2356</v>
      </c>
      <c r="S585" s="405"/>
      <c r="T585" s="405"/>
      <c r="U585" s="407"/>
      <c r="V585" s="408"/>
      <c r="W585" s="405"/>
      <c r="X585" s="406"/>
      <c r="Y585" s="379"/>
      <c r="Z585" s="379"/>
    </row>
    <row r="586" spans="1:29" ht="20.399999999999999">
      <c r="A586" s="400" t="s">
        <v>2344</v>
      </c>
      <c r="B586" s="401" t="s">
        <v>2309</v>
      </c>
      <c r="C586" s="402" t="s">
        <v>2310</v>
      </c>
      <c r="D586" s="403" t="s">
        <v>404</v>
      </c>
      <c r="E586" s="402" t="s">
        <v>404</v>
      </c>
      <c r="F586" s="402" t="s">
        <v>404</v>
      </c>
      <c r="G586" s="402" t="s">
        <v>404</v>
      </c>
      <c r="H586" s="402">
        <v>10</v>
      </c>
      <c r="I586" s="402">
        <v>10</v>
      </c>
      <c r="J586" s="402" t="s">
        <v>1123</v>
      </c>
      <c r="K586" s="402">
        <v>40</v>
      </c>
      <c r="L586" s="402" t="s">
        <v>1134</v>
      </c>
      <c r="M586" s="403" t="s">
        <v>420</v>
      </c>
      <c r="N586" s="402" t="s">
        <v>1112</v>
      </c>
      <c r="O586" s="401"/>
      <c r="P586" s="405"/>
      <c r="Q586" s="405"/>
      <c r="R586" s="407"/>
      <c r="S586" s="405"/>
      <c r="T586" s="405"/>
      <c r="U586" s="407"/>
      <c r="V586" s="408"/>
      <c r="W586" s="405"/>
      <c r="X586" s="406"/>
      <c r="Y586" s="379"/>
      <c r="Z586" s="379"/>
    </row>
    <row r="587" spans="1:29" ht="20.399999999999999">
      <c r="A587" s="400" t="s">
        <v>2357</v>
      </c>
      <c r="B587" s="401" t="s">
        <v>1387</v>
      </c>
      <c r="C587" s="402" t="s">
        <v>2358</v>
      </c>
      <c r="D587" s="403">
        <v>75</v>
      </c>
      <c r="E587" s="402">
        <v>70</v>
      </c>
      <c r="F587" s="402">
        <v>60</v>
      </c>
      <c r="G587" s="402">
        <v>30</v>
      </c>
      <c r="H587" s="402">
        <v>4</v>
      </c>
      <c r="I587" s="402">
        <v>4</v>
      </c>
      <c r="J587" s="402" t="s">
        <v>1123</v>
      </c>
      <c r="K587" s="402">
        <v>35</v>
      </c>
      <c r="L587" s="402" t="s">
        <v>1138</v>
      </c>
      <c r="M587" s="403" t="s">
        <v>419</v>
      </c>
      <c r="N587" s="402" t="s">
        <v>1139</v>
      </c>
      <c r="O587" s="401"/>
      <c r="P587" s="405"/>
      <c r="Q587" s="405"/>
      <c r="R587" s="407"/>
      <c r="S587" s="405"/>
      <c r="T587" s="405"/>
      <c r="U587" s="407"/>
      <c r="V587" s="408"/>
      <c r="W587" s="405"/>
      <c r="X587" s="406"/>
      <c r="Y587" s="379"/>
      <c r="Z587" s="379"/>
    </row>
    <row r="588" spans="1:29" ht="20.399999999999999">
      <c r="A588" s="400" t="s">
        <v>2357</v>
      </c>
      <c r="B588" s="401" t="s">
        <v>1387</v>
      </c>
      <c r="C588" s="402" t="s">
        <v>2359</v>
      </c>
      <c r="D588" s="403">
        <v>75</v>
      </c>
      <c r="E588" s="402">
        <v>70</v>
      </c>
      <c r="F588" s="402">
        <v>60</v>
      </c>
      <c r="G588" s="402">
        <v>30</v>
      </c>
      <c r="H588" s="402">
        <v>4</v>
      </c>
      <c r="I588" s="402">
        <v>4</v>
      </c>
      <c r="J588" s="402" t="s">
        <v>1123</v>
      </c>
      <c r="K588" s="402">
        <v>35</v>
      </c>
      <c r="L588" s="402" t="s">
        <v>1138</v>
      </c>
      <c r="M588" s="403" t="s">
        <v>419</v>
      </c>
      <c r="N588" s="402" t="s">
        <v>1139</v>
      </c>
      <c r="O588" s="401"/>
      <c r="P588" s="405"/>
      <c r="Q588" s="405"/>
      <c r="R588" s="407"/>
      <c r="S588" s="405"/>
      <c r="T588" s="405"/>
      <c r="U588" s="407"/>
      <c r="V588" s="408"/>
      <c r="W588" s="405"/>
      <c r="X588" s="406"/>
      <c r="Y588" s="379"/>
      <c r="Z588" s="379"/>
    </row>
    <row r="589" spans="1:29" s="381" customFormat="1" ht="30.6">
      <c r="A589" s="400" t="s">
        <v>2357</v>
      </c>
      <c r="B589" s="401" t="s">
        <v>1960</v>
      </c>
      <c r="C589" s="402" t="s">
        <v>2360</v>
      </c>
      <c r="D589" s="403">
        <v>75</v>
      </c>
      <c r="E589" s="402">
        <v>70</v>
      </c>
      <c r="F589" s="402">
        <v>60</v>
      </c>
      <c r="G589" s="402">
        <v>30</v>
      </c>
      <c r="H589" s="402">
        <v>4</v>
      </c>
      <c r="I589" s="402">
        <v>4</v>
      </c>
      <c r="J589" s="402" t="s">
        <v>1123</v>
      </c>
      <c r="K589" s="402">
        <v>40</v>
      </c>
      <c r="L589" s="402" t="s">
        <v>1138</v>
      </c>
      <c r="M589" s="403" t="s">
        <v>420</v>
      </c>
      <c r="N589" s="402" t="s">
        <v>1139</v>
      </c>
      <c r="O589" s="401"/>
      <c r="P589" s="405" t="s">
        <v>2361</v>
      </c>
      <c r="Q589" s="405"/>
      <c r="R589" s="407"/>
      <c r="S589" s="405"/>
      <c r="T589" s="405"/>
      <c r="U589" s="407"/>
      <c r="V589" s="408"/>
      <c r="W589" s="427"/>
      <c r="X589" s="428"/>
    </row>
    <row r="590" spans="1:29" ht="20.399999999999999">
      <c r="A590" s="400" t="s">
        <v>2357</v>
      </c>
      <c r="B590" s="401" t="s">
        <v>1385</v>
      </c>
      <c r="C590" s="402" t="s">
        <v>2362</v>
      </c>
      <c r="D590" s="403">
        <v>75</v>
      </c>
      <c r="E590" s="402">
        <v>70</v>
      </c>
      <c r="F590" s="402">
        <v>60</v>
      </c>
      <c r="G590" s="402">
        <v>30</v>
      </c>
      <c r="H590" s="402">
        <v>6</v>
      </c>
      <c r="I590" s="402">
        <v>6</v>
      </c>
      <c r="J590" s="402" t="s">
        <v>1123</v>
      </c>
      <c r="K590" s="402">
        <v>35</v>
      </c>
      <c r="L590" s="402" t="s">
        <v>1138</v>
      </c>
      <c r="M590" s="403" t="s">
        <v>419</v>
      </c>
      <c r="N590" s="402" t="s">
        <v>1139</v>
      </c>
      <c r="O590" s="401"/>
      <c r="P590" s="405"/>
      <c r="Q590" s="405"/>
      <c r="R590" s="407"/>
      <c r="S590" s="405"/>
      <c r="T590" s="405"/>
      <c r="U590" s="407"/>
      <c r="V590" s="408"/>
      <c r="W590" s="405"/>
      <c r="X590" s="406"/>
      <c r="Y590" s="379"/>
      <c r="Z590" s="379"/>
    </row>
    <row r="591" spans="1:29" ht="30.6">
      <c r="A591" s="400" t="s">
        <v>2357</v>
      </c>
      <c r="B591" s="401" t="s">
        <v>2363</v>
      </c>
      <c r="C591" s="402" t="s">
        <v>2364</v>
      </c>
      <c r="D591" s="403">
        <v>75</v>
      </c>
      <c r="E591" s="402">
        <v>70</v>
      </c>
      <c r="F591" s="402">
        <v>60</v>
      </c>
      <c r="G591" s="402">
        <v>30</v>
      </c>
      <c r="H591" s="402">
        <v>4</v>
      </c>
      <c r="I591" s="402">
        <v>4</v>
      </c>
      <c r="J591" s="402" t="s">
        <v>1123</v>
      </c>
      <c r="K591" s="402">
        <v>40</v>
      </c>
      <c r="L591" s="402" t="s">
        <v>1138</v>
      </c>
      <c r="M591" s="403" t="s">
        <v>420</v>
      </c>
      <c r="N591" s="402" t="s">
        <v>1139</v>
      </c>
      <c r="O591" s="401"/>
      <c r="P591" s="405" t="s">
        <v>2361</v>
      </c>
      <c r="Q591" s="405"/>
      <c r="R591" s="407"/>
      <c r="S591" s="405"/>
      <c r="T591" s="405"/>
      <c r="U591" s="407"/>
      <c r="V591" s="408"/>
      <c r="W591" s="405"/>
      <c r="X591" s="406"/>
      <c r="Y591" s="384"/>
      <c r="Z591" s="384"/>
      <c r="AA591" s="384"/>
      <c r="AB591" s="384"/>
      <c r="AC591" s="384"/>
    </row>
    <row r="592" spans="1:29" ht="30.6">
      <c r="A592" s="400" t="s">
        <v>2357</v>
      </c>
      <c r="B592" s="401" t="s">
        <v>1835</v>
      </c>
      <c r="C592" s="402" t="s">
        <v>1973</v>
      </c>
      <c r="D592" s="403">
        <v>75</v>
      </c>
      <c r="E592" s="402">
        <v>70</v>
      </c>
      <c r="F592" s="402">
        <v>60</v>
      </c>
      <c r="G592" s="402">
        <v>30</v>
      </c>
      <c r="H592" s="402">
        <v>6</v>
      </c>
      <c r="I592" s="402">
        <v>4</v>
      </c>
      <c r="J592" s="402" t="s">
        <v>1123</v>
      </c>
      <c r="K592" s="402">
        <v>35</v>
      </c>
      <c r="L592" s="402" t="s">
        <v>1138</v>
      </c>
      <c r="M592" s="403" t="s">
        <v>419</v>
      </c>
      <c r="N592" s="402" t="s">
        <v>1139</v>
      </c>
      <c r="O592" s="401"/>
      <c r="P592" s="405" t="s">
        <v>2365</v>
      </c>
      <c r="Q592" s="405"/>
      <c r="R592" s="407"/>
      <c r="S592" s="405"/>
      <c r="T592" s="405"/>
      <c r="U592" s="407"/>
      <c r="V592" s="408"/>
      <c r="W592" s="405"/>
      <c r="X592" s="406"/>
      <c r="Y592" s="384"/>
      <c r="Z592" s="384"/>
      <c r="AA592" s="384"/>
      <c r="AB592" s="384"/>
      <c r="AC592" s="384"/>
    </row>
    <row r="593" spans="1:29" ht="20.399999999999999">
      <c r="A593" s="400" t="s">
        <v>2357</v>
      </c>
      <c r="B593" s="401" t="s">
        <v>1331</v>
      </c>
      <c r="C593" s="402" t="s">
        <v>2366</v>
      </c>
      <c r="D593" s="403" t="s">
        <v>404</v>
      </c>
      <c r="E593" s="402" t="s">
        <v>404</v>
      </c>
      <c r="F593" s="402" t="s">
        <v>404</v>
      </c>
      <c r="G593" s="402" t="s">
        <v>404</v>
      </c>
      <c r="H593" s="402">
        <v>10</v>
      </c>
      <c r="I593" s="402">
        <v>10</v>
      </c>
      <c r="J593" s="402" t="s">
        <v>1123</v>
      </c>
      <c r="K593" s="402">
        <v>40</v>
      </c>
      <c r="L593" s="402" t="s">
        <v>1339</v>
      </c>
      <c r="M593" s="403" t="s">
        <v>420</v>
      </c>
      <c r="N593" s="402" t="s">
        <v>1112</v>
      </c>
      <c r="O593" s="401"/>
      <c r="P593" s="405"/>
      <c r="Q593" s="405"/>
      <c r="R593" s="407"/>
      <c r="S593" s="405"/>
      <c r="T593" s="405"/>
      <c r="U593" s="407"/>
      <c r="V593" s="408"/>
      <c r="W593" s="405"/>
      <c r="X593" s="406"/>
      <c r="Y593" s="384"/>
      <c r="Z593" s="384"/>
      <c r="AA593" s="384"/>
      <c r="AB593" s="384"/>
      <c r="AC593" s="384"/>
    </row>
    <row r="594" spans="1:29" ht="61.2">
      <c r="A594" s="400" t="s">
        <v>2357</v>
      </c>
      <c r="B594" s="401" t="s">
        <v>2367</v>
      </c>
      <c r="C594" s="402" t="s">
        <v>2368</v>
      </c>
      <c r="D594" s="403">
        <v>75</v>
      </c>
      <c r="E594" s="402">
        <v>70</v>
      </c>
      <c r="F594" s="402" t="s">
        <v>404</v>
      </c>
      <c r="G594" s="402" t="s">
        <v>404</v>
      </c>
      <c r="H594" s="402">
        <v>6</v>
      </c>
      <c r="I594" s="402">
        <v>6</v>
      </c>
      <c r="J594" s="402" t="s">
        <v>1123</v>
      </c>
      <c r="K594" s="402">
        <v>40</v>
      </c>
      <c r="L594" s="402" t="s">
        <v>1124</v>
      </c>
      <c r="M594" s="403" t="s">
        <v>420</v>
      </c>
      <c r="N594" s="402" t="s">
        <v>1112</v>
      </c>
      <c r="O594" s="401"/>
      <c r="P594" s="405" t="s">
        <v>2369</v>
      </c>
      <c r="Q594" s="405"/>
      <c r="R594" s="407"/>
      <c r="S594" s="405"/>
      <c r="T594" s="405"/>
      <c r="U594" s="407"/>
      <c r="V594" s="408"/>
      <c r="W594" s="405"/>
      <c r="X594" s="406"/>
      <c r="Y594" s="379"/>
      <c r="Z594" s="379"/>
    </row>
    <row r="595" spans="1:29" s="389" customFormat="1" ht="61.2">
      <c r="A595" s="400" t="s">
        <v>2357</v>
      </c>
      <c r="B595" s="401" t="s">
        <v>2367</v>
      </c>
      <c r="C595" s="402" t="s">
        <v>2370</v>
      </c>
      <c r="D595" s="403">
        <v>75</v>
      </c>
      <c r="E595" s="402">
        <v>70</v>
      </c>
      <c r="F595" s="402" t="s">
        <v>404</v>
      </c>
      <c r="G595" s="402" t="s">
        <v>404</v>
      </c>
      <c r="H595" s="402">
        <v>6</v>
      </c>
      <c r="I595" s="402">
        <v>6</v>
      </c>
      <c r="J595" s="402" t="s">
        <v>1123</v>
      </c>
      <c r="K595" s="402">
        <v>40</v>
      </c>
      <c r="L595" s="402" t="s">
        <v>1124</v>
      </c>
      <c r="M595" s="403" t="s">
        <v>420</v>
      </c>
      <c r="N595" s="402" t="s">
        <v>1112</v>
      </c>
      <c r="O595" s="401"/>
      <c r="P595" s="405" t="s">
        <v>2369</v>
      </c>
      <c r="Q595" s="405"/>
      <c r="R595" s="407"/>
      <c r="S595" s="405"/>
      <c r="T595" s="405"/>
      <c r="U595" s="407"/>
      <c r="V595" s="408"/>
      <c r="W595" s="446"/>
      <c r="X595" s="454"/>
    </row>
    <row r="596" spans="1:29" ht="20.399999999999999">
      <c r="A596" s="400" t="s">
        <v>2357</v>
      </c>
      <c r="B596" s="401" t="s">
        <v>2371</v>
      </c>
      <c r="C596" s="402" t="s">
        <v>2372</v>
      </c>
      <c r="D596" s="403" t="s">
        <v>404</v>
      </c>
      <c r="E596" s="402" t="s">
        <v>404</v>
      </c>
      <c r="F596" s="402" t="s">
        <v>404</v>
      </c>
      <c r="G596" s="402" t="s">
        <v>404</v>
      </c>
      <c r="H596" s="402">
        <v>10</v>
      </c>
      <c r="I596" s="402">
        <v>10</v>
      </c>
      <c r="J596" s="402" t="s">
        <v>1123</v>
      </c>
      <c r="K596" s="402">
        <v>40</v>
      </c>
      <c r="L596" s="402" t="s">
        <v>1339</v>
      </c>
      <c r="M596" s="403" t="s">
        <v>420</v>
      </c>
      <c r="N596" s="402" t="s">
        <v>1112</v>
      </c>
      <c r="O596" s="401"/>
      <c r="P596" s="405"/>
      <c r="Q596" s="405"/>
      <c r="R596" s="407"/>
      <c r="S596" s="405"/>
      <c r="T596" s="405"/>
      <c r="U596" s="407"/>
      <c r="V596" s="408"/>
      <c r="W596" s="405"/>
      <c r="X596" s="406"/>
      <c r="Y596" s="379"/>
      <c r="Z596" s="379"/>
    </row>
    <row r="597" spans="1:29" ht="20.399999999999999">
      <c r="A597" s="400" t="s">
        <v>2357</v>
      </c>
      <c r="B597" s="401" t="s">
        <v>2371</v>
      </c>
      <c r="C597" s="402" t="s">
        <v>2373</v>
      </c>
      <c r="D597" s="403" t="s">
        <v>404</v>
      </c>
      <c r="E597" s="402" t="s">
        <v>404</v>
      </c>
      <c r="F597" s="402" t="s">
        <v>404</v>
      </c>
      <c r="G597" s="402" t="s">
        <v>404</v>
      </c>
      <c r="H597" s="402">
        <v>10</v>
      </c>
      <c r="I597" s="402">
        <v>10</v>
      </c>
      <c r="J597" s="402" t="s">
        <v>1123</v>
      </c>
      <c r="K597" s="402">
        <v>40</v>
      </c>
      <c r="L597" s="402" t="s">
        <v>1339</v>
      </c>
      <c r="M597" s="403" t="s">
        <v>420</v>
      </c>
      <c r="N597" s="402" t="s">
        <v>1112</v>
      </c>
      <c r="O597" s="401"/>
      <c r="P597" s="405"/>
      <c r="Q597" s="405"/>
      <c r="R597" s="407"/>
      <c r="S597" s="405"/>
      <c r="T597" s="405"/>
      <c r="U597" s="407"/>
      <c r="V597" s="408"/>
      <c r="W597" s="405"/>
      <c r="X597" s="406"/>
      <c r="Y597" s="379"/>
      <c r="Z597" s="379"/>
    </row>
    <row r="598" spans="1:29" ht="51">
      <c r="A598" s="400" t="s">
        <v>2374</v>
      </c>
      <c r="B598" s="401"/>
      <c r="C598" s="402"/>
      <c r="D598" s="403"/>
      <c r="E598" s="402"/>
      <c r="F598" s="402"/>
      <c r="G598" s="402"/>
      <c r="H598" s="402"/>
      <c r="I598" s="402"/>
      <c r="J598" s="402"/>
      <c r="K598" s="402"/>
      <c r="L598" s="402"/>
      <c r="M598" s="403"/>
      <c r="N598" s="402"/>
      <c r="O598" s="401"/>
      <c r="P598" s="405" t="s">
        <v>2375</v>
      </c>
      <c r="Q598" s="405"/>
      <c r="R598" s="407"/>
      <c r="S598" s="405"/>
      <c r="T598" s="405"/>
      <c r="U598" s="407"/>
      <c r="V598" s="408"/>
      <c r="W598" s="405"/>
      <c r="X598" s="406"/>
      <c r="Y598" s="379"/>
      <c r="Z598" s="379"/>
    </row>
    <row r="599" spans="1:29" ht="40.799999999999997">
      <c r="A599" s="400" t="s">
        <v>2376</v>
      </c>
      <c r="B599" s="401" t="s">
        <v>2377</v>
      </c>
      <c r="C599" s="402" t="s">
        <v>2378</v>
      </c>
      <c r="D599" s="403">
        <v>75</v>
      </c>
      <c r="E599" s="402">
        <v>70</v>
      </c>
      <c r="F599" s="402">
        <v>60</v>
      </c>
      <c r="G599" s="402">
        <v>30</v>
      </c>
      <c r="H599" s="402">
        <v>6</v>
      </c>
      <c r="I599" s="402">
        <v>2</v>
      </c>
      <c r="J599" s="402" t="s">
        <v>1137</v>
      </c>
      <c r="K599" s="402">
        <v>35</v>
      </c>
      <c r="L599" s="402" t="s">
        <v>1145</v>
      </c>
      <c r="M599" s="403" t="s">
        <v>419</v>
      </c>
      <c r="N599" s="402" t="s">
        <v>1112</v>
      </c>
      <c r="O599" s="401">
        <v>6</v>
      </c>
      <c r="P599" s="405" t="s">
        <v>2379</v>
      </c>
      <c r="Q599" s="405"/>
      <c r="R599" s="407"/>
      <c r="S599" s="405"/>
      <c r="T599" s="405"/>
      <c r="U599" s="407"/>
      <c r="V599" s="408"/>
      <c r="W599" s="405"/>
      <c r="X599" s="406"/>
      <c r="Y599" s="379"/>
      <c r="Z599" s="379"/>
    </row>
    <row r="600" spans="1:29" ht="30.6">
      <c r="A600" s="400" t="s">
        <v>2374</v>
      </c>
      <c r="B600" s="401" t="s">
        <v>2380</v>
      </c>
      <c r="C600" s="402" t="s">
        <v>2381</v>
      </c>
      <c r="D600" s="403">
        <v>75</v>
      </c>
      <c r="E600" s="402">
        <v>70</v>
      </c>
      <c r="F600" s="402">
        <v>60</v>
      </c>
      <c r="G600" s="402">
        <v>30</v>
      </c>
      <c r="H600" s="402">
        <v>6</v>
      </c>
      <c r="I600" s="402">
        <v>2</v>
      </c>
      <c r="J600" s="402" t="s">
        <v>1137</v>
      </c>
      <c r="K600" s="402">
        <v>35</v>
      </c>
      <c r="L600" s="402" t="s">
        <v>1145</v>
      </c>
      <c r="M600" s="403" t="s">
        <v>419</v>
      </c>
      <c r="N600" s="402" t="s">
        <v>1112</v>
      </c>
      <c r="O600" s="401">
        <v>6</v>
      </c>
      <c r="P600" s="405" t="s">
        <v>2379</v>
      </c>
      <c r="Q600" s="405"/>
      <c r="R600" s="407"/>
      <c r="S600" s="405"/>
      <c r="T600" s="405"/>
      <c r="U600" s="407"/>
      <c r="V600" s="408"/>
      <c r="W600" s="405"/>
      <c r="X600" s="406"/>
      <c r="Y600" s="379"/>
      <c r="Z600" s="379"/>
    </row>
    <row r="601" spans="1:29">
      <c r="A601" s="400" t="s">
        <v>2374</v>
      </c>
      <c r="B601" s="401" t="s">
        <v>2382</v>
      </c>
      <c r="C601" s="402" t="s">
        <v>2383</v>
      </c>
      <c r="D601" s="403">
        <v>75</v>
      </c>
      <c r="E601" s="402">
        <v>70</v>
      </c>
      <c r="F601" s="402">
        <v>60</v>
      </c>
      <c r="G601" s="402">
        <v>30</v>
      </c>
      <c r="H601" s="402">
        <v>6</v>
      </c>
      <c r="I601" s="402">
        <v>2</v>
      </c>
      <c r="J601" s="402" t="s">
        <v>1137</v>
      </c>
      <c r="K601" s="402">
        <v>40</v>
      </c>
      <c r="L601" s="402" t="s">
        <v>1138</v>
      </c>
      <c r="M601" s="403" t="s">
        <v>419</v>
      </c>
      <c r="N601" s="402" t="s">
        <v>1112</v>
      </c>
      <c r="O601" s="401">
        <v>6</v>
      </c>
      <c r="P601" s="405"/>
      <c r="Q601" s="405"/>
      <c r="R601" s="407"/>
      <c r="S601" s="405"/>
      <c r="T601" s="405"/>
      <c r="U601" s="407"/>
      <c r="V601" s="408"/>
      <c r="W601" s="405"/>
      <c r="X601" s="406"/>
      <c r="Y601" s="379"/>
      <c r="Z601" s="379"/>
    </row>
    <row r="602" spans="1:29" ht="40.799999999999997">
      <c r="A602" s="400" t="s">
        <v>2384</v>
      </c>
      <c r="B602" s="401" t="s">
        <v>2385</v>
      </c>
      <c r="C602" s="402" t="s">
        <v>2386</v>
      </c>
      <c r="D602" s="403">
        <v>66</v>
      </c>
      <c r="E602" s="402">
        <v>75</v>
      </c>
      <c r="F602" s="402">
        <v>60</v>
      </c>
      <c r="G602" s="402">
        <v>30</v>
      </c>
      <c r="H602" s="402">
        <v>20</v>
      </c>
      <c r="I602" s="402">
        <v>4</v>
      </c>
      <c r="J602" s="402" t="s">
        <v>1137</v>
      </c>
      <c r="K602" s="402">
        <v>40</v>
      </c>
      <c r="L602" s="402" t="s">
        <v>1741</v>
      </c>
      <c r="M602" s="403" t="s">
        <v>419</v>
      </c>
      <c r="N602" s="402" t="s">
        <v>1112</v>
      </c>
      <c r="O602" s="401">
        <v>10</v>
      </c>
      <c r="P602" s="405" t="s">
        <v>2387</v>
      </c>
      <c r="Q602" s="405"/>
      <c r="R602" s="407"/>
      <c r="S602" s="405"/>
      <c r="T602" s="405"/>
      <c r="U602" s="407"/>
      <c r="V602" s="408"/>
      <c r="W602" s="405"/>
      <c r="X602" s="406"/>
      <c r="Y602" s="379"/>
      <c r="Z602" s="379"/>
    </row>
    <row r="603" spans="1:29" ht="40.799999999999997">
      <c r="A603" s="400" t="s">
        <v>2384</v>
      </c>
      <c r="B603" s="401" t="s">
        <v>2388</v>
      </c>
      <c r="C603" s="402" t="s">
        <v>2389</v>
      </c>
      <c r="D603" s="403">
        <v>66</v>
      </c>
      <c r="E603" s="402">
        <v>75</v>
      </c>
      <c r="F603" s="402">
        <v>60</v>
      </c>
      <c r="G603" s="402">
        <v>30</v>
      </c>
      <c r="H603" s="402">
        <v>20</v>
      </c>
      <c r="I603" s="402">
        <v>4</v>
      </c>
      <c r="J603" s="402" t="s">
        <v>1137</v>
      </c>
      <c r="K603" s="402">
        <v>40</v>
      </c>
      <c r="L603" s="402" t="s">
        <v>1741</v>
      </c>
      <c r="M603" s="403" t="s">
        <v>419</v>
      </c>
      <c r="N603" s="402" t="s">
        <v>1112</v>
      </c>
      <c r="O603" s="401">
        <v>10</v>
      </c>
      <c r="P603" s="405" t="s">
        <v>2387</v>
      </c>
      <c r="Q603" s="405"/>
      <c r="R603" s="407"/>
      <c r="S603" s="405"/>
      <c r="T603" s="405"/>
      <c r="U603" s="407"/>
      <c r="V603" s="408"/>
      <c r="W603" s="405"/>
      <c r="X603" s="406"/>
      <c r="Y603" s="379"/>
      <c r="Z603" s="379"/>
    </row>
    <row r="604" spans="1:29" ht="40.799999999999997">
      <c r="A604" s="400" t="s">
        <v>2384</v>
      </c>
      <c r="B604" s="401" t="s">
        <v>2390</v>
      </c>
      <c r="C604" s="402" t="s">
        <v>2391</v>
      </c>
      <c r="D604" s="403">
        <v>66</v>
      </c>
      <c r="E604" s="402">
        <v>75</v>
      </c>
      <c r="F604" s="402">
        <v>60</v>
      </c>
      <c r="G604" s="402">
        <v>30</v>
      </c>
      <c r="H604" s="402">
        <v>20</v>
      </c>
      <c r="I604" s="402">
        <v>4</v>
      </c>
      <c r="J604" s="402" t="s">
        <v>1137</v>
      </c>
      <c r="K604" s="402">
        <v>40</v>
      </c>
      <c r="L604" s="402" t="s">
        <v>1741</v>
      </c>
      <c r="M604" s="403" t="s">
        <v>419</v>
      </c>
      <c r="N604" s="402" t="s">
        <v>1112</v>
      </c>
      <c r="O604" s="401">
        <v>10</v>
      </c>
      <c r="P604" s="405" t="s">
        <v>2387</v>
      </c>
      <c r="Q604" s="405"/>
      <c r="R604" s="407"/>
      <c r="S604" s="405"/>
      <c r="T604" s="405"/>
      <c r="U604" s="407"/>
      <c r="V604" s="408"/>
      <c r="W604" s="405"/>
      <c r="X604" s="406"/>
      <c r="Y604" s="379"/>
      <c r="Z604" s="379"/>
    </row>
    <row r="605" spans="1:29" ht="40.799999999999997">
      <c r="A605" s="400" t="s">
        <v>2384</v>
      </c>
      <c r="B605" s="401" t="s">
        <v>2392</v>
      </c>
      <c r="C605" s="402" t="s">
        <v>2393</v>
      </c>
      <c r="D605" s="403">
        <v>66</v>
      </c>
      <c r="E605" s="402">
        <v>75</v>
      </c>
      <c r="F605" s="402">
        <v>60</v>
      </c>
      <c r="G605" s="402">
        <v>30</v>
      </c>
      <c r="H605" s="402">
        <v>20</v>
      </c>
      <c r="I605" s="402">
        <v>4</v>
      </c>
      <c r="J605" s="402" t="s">
        <v>1137</v>
      </c>
      <c r="K605" s="402">
        <v>40</v>
      </c>
      <c r="L605" s="402" t="s">
        <v>1741</v>
      </c>
      <c r="M605" s="403" t="s">
        <v>419</v>
      </c>
      <c r="N605" s="402" t="s">
        <v>1112</v>
      </c>
      <c r="O605" s="401">
        <v>10</v>
      </c>
      <c r="P605" s="405" t="s">
        <v>2387</v>
      </c>
      <c r="Q605" s="405"/>
      <c r="R605" s="407"/>
      <c r="S605" s="405"/>
      <c r="T605" s="405"/>
      <c r="U605" s="407"/>
      <c r="V605" s="408"/>
      <c r="W605" s="405"/>
      <c r="X605" s="406"/>
      <c r="Y605" s="379"/>
      <c r="Z605" s="379"/>
    </row>
    <row r="606" spans="1:29" ht="40.799999999999997">
      <c r="A606" s="400" t="s">
        <v>2384</v>
      </c>
      <c r="B606" s="401" t="s">
        <v>2394</v>
      </c>
      <c r="C606" s="402" t="s">
        <v>2395</v>
      </c>
      <c r="D606" s="403">
        <v>66</v>
      </c>
      <c r="E606" s="402">
        <v>75</v>
      </c>
      <c r="F606" s="402">
        <v>60</v>
      </c>
      <c r="G606" s="402">
        <v>30</v>
      </c>
      <c r="H606" s="402">
        <v>20</v>
      </c>
      <c r="I606" s="402">
        <v>4</v>
      </c>
      <c r="J606" s="402" t="s">
        <v>1137</v>
      </c>
      <c r="K606" s="402">
        <v>40</v>
      </c>
      <c r="L606" s="402" t="s">
        <v>1741</v>
      </c>
      <c r="M606" s="403" t="s">
        <v>419</v>
      </c>
      <c r="N606" s="402" t="s">
        <v>1112</v>
      </c>
      <c r="O606" s="401">
        <v>10</v>
      </c>
      <c r="P606" s="405" t="s">
        <v>2387</v>
      </c>
      <c r="Q606" s="405"/>
      <c r="R606" s="407"/>
      <c r="S606" s="405"/>
      <c r="T606" s="405"/>
      <c r="U606" s="407"/>
      <c r="V606" s="408"/>
      <c r="W606" s="405"/>
      <c r="X606" s="406"/>
      <c r="Y606" s="379"/>
      <c r="Z606" s="379"/>
    </row>
    <row r="607" spans="1:29" ht="40.799999999999997">
      <c r="A607" s="400" t="s">
        <v>2384</v>
      </c>
      <c r="B607" s="401" t="s">
        <v>2396</v>
      </c>
      <c r="C607" s="402" t="s">
        <v>2397</v>
      </c>
      <c r="D607" s="403">
        <v>66</v>
      </c>
      <c r="E607" s="402">
        <v>75</v>
      </c>
      <c r="F607" s="402">
        <v>60</v>
      </c>
      <c r="G607" s="402">
        <v>30</v>
      </c>
      <c r="H607" s="402">
        <v>20</v>
      </c>
      <c r="I607" s="402">
        <v>4</v>
      </c>
      <c r="J607" s="402" t="s">
        <v>1137</v>
      </c>
      <c r="K607" s="402">
        <v>40</v>
      </c>
      <c r="L607" s="402" t="s">
        <v>1741</v>
      </c>
      <c r="M607" s="403" t="s">
        <v>419</v>
      </c>
      <c r="N607" s="402" t="s">
        <v>1112</v>
      </c>
      <c r="O607" s="401">
        <v>10</v>
      </c>
      <c r="P607" s="405" t="s">
        <v>2387</v>
      </c>
      <c r="Q607" s="405"/>
      <c r="R607" s="407"/>
      <c r="S607" s="405"/>
      <c r="T607" s="405"/>
      <c r="U607" s="407"/>
      <c r="V607" s="408"/>
      <c r="W607" s="405"/>
      <c r="X607" s="406"/>
      <c r="Y607" s="379"/>
      <c r="Z607" s="379"/>
    </row>
    <row r="608" spans="1:29" ht="40.799999999999997">
      <c r="A608" s="400" t="s">
        <v>2384</v>
      </c>
      <c r="B608" s="401" t="s">
        <v>2398</v>
      </c>
      <c r="C608" s="402" t="s">
        <v>2399</v>
      </c>
      <c r="D608" s="403">
        <v>66</v>
      </c>
      <c r="E608" s="402">
        <v>75</v>
      </c>
      <c r="F608" s="402">
        <v>60</v>
      </c>
      <c r="G608" s="402">
        <v>30</v>
      </c>
      <c r="H608" s="402">
        <v>20</v>
      </c>
      <c r="I608" s="402">
        <v>4</v>
      </c>
      <c r="J608" s="402" t="s">
        <v>1137</v>
      </c>
      <c r="K608" s="402">
        <v>40</v>
      </c>
      <c r="L608" s="402" t="s">
        <v>1741</v>
      </c>
      <c r="M608" s="403" t="s">
        <v>419</v>
      </c>
      <c r="N608" s="402" t="s">
        <v>1112</v>
      </c>
      <c r="O608" s="401">
        <v>10</v>
      </c>
      <c r="P608" s="405" t="s">
        <v>2387</v>
      </c>
      <c r="Q608" s="405"/>
      <c r="R608" s="407"/>
      <c r="S608" s="405"/>
      <c r="T608" s="405"/>
      <c r="U608" s="407"/>
      <c r="V608" s="408"/>
      <c r="W608" s="405"/>
      <c r="X608" s="406"/>
      <c r="Y608" s="379"/>
      <c r="Z608" s="379"/>
    </row>
    <row r="609" spans="1:26" ht="40.799999999999997">
      <c r="A609" s="400" t="s">
        <v>2384</v>
      </c>
      <c r="B609" s="401" t="s">
        <v>2400</v>
      </c>
      <c r="C609" s="402" t="s">
        <v>2401</v>
      </c>
      <c r="D609" s="403">
        <v>66</v>
      </c>
      <c r="E609" s="402">
        <v>75</v>
      </c>
      <c r="F609" s="402">
        <v>60</v>
      </c>
      <c r="G609" s="402">
        <v>30</v>
      </c>
      <c r="H609" s="402">
        <v>20</v>
      </c>
      <c r="I609" s="402">
        <v>4</v>
      </c>
      <c r="J609" s="402" t="s">
        <v>1137</v>
      </c>
      <c r="K609" s="402">
        <v>40</v>
      </c>
      <c r="L609" s="402" t="s">
        <v>1741</v>
      </c>
      <c r="M609" s="403" t="s">
        <v>419</v>
      </c>
      <c r="N609" s="402" t="s">
        <v>1112</v>
      </c>
      <c r="O609" s="401">
        <v>10</v>
      </c>
      <c r="P609" s="405" t="s">
        <v>2387</v>
      </c>
      <c r="Q609" s="405"/>
      <c r="R609" s="407"/>
      <c r="S609" s="405"/>
      <c r="T609" s="405"/>
      <c r="U609" s="407"/>
      <c r="V609" s="408"/>
      <c r="W609" s="405"/>
      <c r="X609" s="406"/>
      <c r="Y609" s="379"/>
      <c r="Z609" s="379"/>
    </row>
    <row r="610" spans="1:26" ht="40.799999999999997">
      <c r="A610" s="400" t="s">
        <v>2384</v>
      </c>
      <c r="B610" s="401" t="s">
        <v>2402</v>
      </c>
      <c r="C610" s="402" t="s">
        <v>2403</v>
      </c>
      <c r="D610" s="403">
        <v>66</v>
      </c>
      <c r="E610" s="402">
        <v>75</v>
      </c>
      <c r="F610" s="402">
        <v>60</v>
      </c>
      <c r="G610" s="402">
        <v>30</v>
      </c>
      <c r="H610" s="402">
        <v>20</v>
      </c>
      <c r="I610" s="402">
        <v>4</v>
      </c>
      <c r="J610" s="402" t="s">
        <v>1137</v>
      </c>
      <c r="K610" s="402">
        <v>40</v>
      </c>
      <c r="L610" s="402" t="s">
        <v>1741</v>
      </c>
      <c r="M610" s="403" t="s">
        <v>419</v>
      </c>
      <c r="N610" s="402" t="s">
        <v>1112</v>
      </c>
      <c r="O610" s="401">
        <v>10</v>
      </c>
      <c r="P610" s="405" t="s">
        <v>2387</v>
      </c>
      <c r="Q610" s="405" t="s">
        <v>2404</v>
      </c>
      <c r="R610" s="407" t="s">
        <v>2405</v>
      </c>
      <c r="S610" s="405"/>
      <c r="T610" s="405"/>
      <c r="U610" s="407"/>
      <c r="V610" s="429"/>
      <c r="W610" s="405"/>
      <c r="X610" s="406"/>
      <c r="Y610" s="379"/>
      <c r="Z610" s="379"/>
    </row>
    <row r="611" spans="1:26" ht="40.799999999999997">
      <c r="A611" s="400" t="s">
        <v>2384</v>
      </c>
      <c r="B611" s="401" t="s">
        <v>2406</v>
      </c>
      <c r="C611" s="402" t="s">
        <v>2407</v>
      </c>
      <c r="D611" s="403">
        <v>66</v>
      </c>
      <c r="E611" s="402">
        <v>75</v>
      </c>
      <c r="F611" s="402">
        <v>60</v>
      </c>
      <c r="G611" s="402">
        <v>30</v>
      </c>
      <c r="H611" s="402">
        <v>20</v>
      </c>
      <c r="I611" s="402">
        <v>4</v>
      </c>
      <c r="J611" s="402" t="s">
        <v>1137</v>
      </c>
      <c r="K611" s="402">
        <v>40</v>
      </c>
      <c r="L611" s="402" t="s">
        <v>1741</v>
      </c>
      <c r="M611" s="403" t="s">
        <v>419</v>
      </c>
      <c r="N611" s="402" t="s">
        <v>1112</v>
      </c>
      <c r="O611" s="401">
        <v>10</v>
      </c>
      <c r="P611" s="405" t="s">
        <v>2387</v>
      </c>
      <c r="Q611" s="405" t="s">
        <v>2404</v>
      </c>
      <c r="R611" s="407" t="s">
        <v>2405</v>
      </c>
      <c r="S611" s="405"/>
      <c r="T611" s="405"/>
      <c r="U611" s="407"/>
      <c r="V611" s="408"/>
      <c r="W611" s="405"/>
      <c r="X611" s="406"/>
      <c r="Y611" s="379"/>
      <c r="Z611" s="379"/>
    </row>
    <row r="612" spans="1:26">
      <c r="A612" s="400" t="s">
        <v>2384</v>
      </c>
      <c r="B612" s="401" t="s">
        <v>2408</v>
      </c>
      <c r="C612" s="402" t="s">
        <v>2409</v>
      </c>
      <c r="D612" s="403">
        <v>75</v>
      </c>
      <c r="E612" s="402">
        <v>70</v>
      </c>
      <c r="F612" s="402">
        <v>60</v>
      </c>
      <c r="G612" s="402">
        <v>30</v>
      </c>
      <c r="H612" s="402">
        <v>8</v>
      </c>
      <c r="I612" s="402">
        <v>2</v>
      </c>
      <c r="J612" s="402" t="s">
        <v>1137</v>
      </c>
      <c r="K612" s="402">
        <v>40</v>
      </c>
      <c r="L612" s="418" t="s">
        <v>1138</v>
      </c>
      <c r="M612" s="403" t="s">
        <v>419</v>
      </c>
      <c r="N612" s="402" t="s">
        <v>1139</v>
      </c>
      <c r="O612" s="401">
        <v>4</v>
      </c>
      <c r="P612" s="405"/>
      <c r="Q612" s="405"/>
      <c r="R612" s="407"/>
      <c r="S612" s="405"/>
      <c r="T612" s="405"/>
      <c r="U612" s="407"/>
      <c r="V612" s="408"/>
      <c r="W612" s="405"/>
      <c r="X612" s="406"/>
      <c r="Y612" s="379"/>
      <c r="Z612" s="379"/>
    </row>
    <row r="613" spans="1:26" ht="40.799999999999997">
      <c r="A613" s="400" t="s">
        <v>2374</v>
      </c>
      <c r="B613" s="401" t="s">
        <v>2410</v>
      </c>
      <c r="C613" s="402" t="s">
        <v>2411</v>
      </c>
      <c r="D613" s="403">
        <v>66</v>
      </c>
      <c r="E613" s="402">
        <v>75</v>
      </c>
      <c r="F613" s="402">
        <v>60</v>
      </c>
      <c r="G613" s="402">
        <v>30</v>
      </c>
      <c r="H613" s="402">
        <v>20</v>
      </c>
      <c r="I613" s="402">
        <v>4</v>
      </c>
      <c r="J613" s="402" t="s">
        <v>1137</v>
      </c>
      <c r="K613" s="402">
        <v>40</v>
      </c>
      <c r="L613" s="402" t="s">
        <v>1741</v>
      </c>
      <c r="M613" s="403" t="s">
        <v>419</v>
      </c>
      <c r="N613" s="402" t="s">
        <v>1112</v>
      </c>
      <c r="O613" s="401">
        <v>10</v>
      </c>
      <c r="P613" s="405" t="s">
        <v>2387</v>
      </c>
      <c r="Q613" s="405" t="s">
        <v>2404</v>
      </c>
      <c r="R613" s="407" t="s">
        <v>2405</v>
      </c>
      <c r="S613" s="405"/>
      <c r="T613" s="405"/>
      <c r="U613" s="407"/>
      <c r="V613" s="408"/>
      <c r="W613" s="405"/>
      <c r="X613" s="406"/>
      <c r="Y613" s="379"/>
      <c r="Z613" s="379"/>
    </row>
    <row r="614" spans="1:26" ht="40.799999999999997">
      <c r="A614" s="400" t="s">
        <v>2374</v>
      </c>
      <c r="B614" s="401" t="s">
        <v>2412</v>
      </c>
      <c r="C614" s="402" t="s">
        <v>2413</v>
      </c>
      <c r="D614" s="403">
        <v>66</v>
      </c>
      <c r="E614" s="402">
        <v>75</v>
      </c>
      <c r="F614" s="402">
        <v>60</v>
      </c>
      <c r="G614" s="402">
        <v>30</v>
      </c>
      <c r="H614" s="402">
        <v>20</v>
      </c>
      <c r="I614" s="402">
        <v>4</v>
      </c>
      <c r="J614" s="402" t="s">
        <v>1137</v>
      </c>
      <c r="K614" s="402">
        <v>40</v>
      </c>
      <c r="L614" s="402" t="s">
        <v>1741</v>
      </c>
      <c r="M614" s="403" t="s">
        <v>419</v>
      </c>
      <c r="N614" s="402" t="s">
        <v>1112</v>
      </c>
      <c r="O614" s="401">
        <v>10</v>
      </c>
      <c r="P614" s="405" t="s">
        <v>2387</v>
      </c>
      <c r="Q614" s="405" t="s">
        <v>2404</v>
      </c>
      <c r="R614" s="407" t="s">
        <v>2405</v>
      </c>
      <c r="S614" s="405"/>
      <c r="T614" s="405"/>
      <c r="U614" s="407"/>
      <c r="V614" s="408"/>
      <c r="W614" s="405"/>
      <c r="X614" s="406"/>
      <c r="Y614" s="379"/>
      <c r="Z614" s="379"/>
    </row>
    <row r="615" spans="1:26" ht="20.399999999999999">
      <c r="A615" s="400" t="s">
        <v>2374</v>
      </c>
      <c r="B615" s="401" t="s">
        <v>2414</v>
      </c>
      <c r="C615" s="402" t="s">
        <v>2415</v>
      </c>
      <c r="D615" s="403">
        <v>75</v>
      </c>
      <c r="E615" s="402">
        <v>70</v>
      </c>
      <c r="F615" s="402">
        <v>60</v>
      </c>
      <c r="G615" s="402">
        <v>30</v>
      </c>
      <c r="H615" s="402">
        <v>10</v>
      </c>
      <c r="I615" s="402">
        <v>2</v>
      </c>
      <c r="J615" s="402" t="s">
        <v>1137</v>
      </c>
      <c r="K615" s="402">
        <v>35</v>
      </c>
      <c r="L615" s="402" t="s">
        <v>1124</v>
      </c>
      <c r="M615" s="403" t="s">
        <v>419</v>
      </c>
      <c r="N615" s="402" t="s">
        <v>1112</v>
      </c>
      <c r="O615" s="401">
        <v>10</v>
      </c>
      <c r="P615" s="405"/>
      <c r="Q615" s="405"/>
      <c r="R615" s="407"/>
      <c r="S615" s="405"/>
      <c r="T615" s="405"/>
      <c r="U615" s="407"/>
      <c r="V615" s="408"/>
      <c r="W615" s="405"/>
      <c r="X615" s="406"/>
      <c r="Y615" s="379"/>
      <c r="Z615" s="379"/>
    </row>
    <row r="616" spans="1:26" ht="40.799999999999997">
      <c r="A616" s="400" t="s">
        <v>2374</v>
      </c>
      <c r="B616" s="401" t="s">
        <v>2416</v>
      </c>
      <c r="C616" s="402" t="s">
        <v>2417</v>
      </c>
      <c r="D616" s="403">
        <v>69</v>
      </c>
      <c r="E616" s="402">
        <v>69</v>
      </c>
      <c r="F616" s="402">
        <v>55</v>
      </c>
      <c r="G616" s="402">
        <v>30</v>
      </c>
      <c r="H616" s="402">
        <v>10</v>
      </c>
      <c r="I616" s="402">
        <v>10</v>
      </c>
      <c r="J616" s="402" t="s">
        <v>1123</v>
      </c>
      <c r="K616" s="402">
        <v>40</v>
      </c>
      <c r="L616" s="402" t="s">
        <v>1339</v>
      </c>
      <c r="M616" s="403" t="s">
        <v>419</v>
      </c>
      <c r="N616" s="402" t="s">
        <v>1112</v>
      </c>
      <c r="O616" s="401">
        <v>10</v>
      </c>
      <c r="P616" s="405" t="s">
        <v>2418</v>
      </c>
      <c r="Q616" s="405"/>
      <c r="R616" s="407"/>
      <c r="S616" s="405"/>
      <c r="T616" s="405"/>
      <c r="U616" s="407"/>
      <c r="V616" s="408"/>
      <c r="W616" s="405"/>
      <c r="X616" s="406"/>
      <c r="Y616" s="379"/>
      <c r="Z616" s="379"/>
    </row>
    <row r="617" spans="1:26">
      <c r="A617" s="400" t="s">
        <v>2374</v>
      </c>
      <c r="B617" s="401" t="s">
        <v>2419</v>
      </c>
      <c r="C617" s="402" t="s">
        <v>2420</v>
      </c>
      <c r="D617" s="403">
        <v>70</v>
      </c>
      <c r="E617" s="402">
        <v>70</v>
      </c>
      <c r="F617" s="402">
        <v>55</v>
      </c>
      <c r="G617" s="402">
        <v>30</v>
      </c>
      <c r="H617" s="402">
        <v>4</v>
      </c>
      <c r="I617" s="402">
        <v>2</v>
      </c>
      <c r="J617" s="402" t="s">
        <v>1137</v>
      </c>
      <c r="K617" s="402">
        <v>35</v>
      </c>
      <c r="L617" s="418" t="s">
        <v>1138</v>
      </c>
      <c r="M617" s="403" t="s">
        <v>419</v>
      </c>
      <c r="N617" s="402" t="s">
        <v>1112</v>
      </c>
      <c r="O617" s="401">
        <v>4</v>
      </c>
      <c r="P617" s="405"/>
      <c r="Q617" s="405"/>
      <c r="R617" s="407"/>
      <c r="S617" s="405"/>
      <c r="T617" s="405"/>
      <c r="U617" s="407"/>
      <c r="V617" s="408"/>
      <c r="W617" s="405"/>
      <c r="X617" s="406"/>
      <c r="Y617" s="379"/>
      <c r="Z617" s="379"/>
    </row>
    <row r="618" spans="1:26" ht="61.2">
      <c r="A618" s="400" t="s">
        <v>2374</v>
      </c>
      <c r="B618" s="401" t="s">
        <v>2421</v>
      </c>
      <c r="C618" s="402" t="s">
        <v>2422</v>
      </c>
      <c r="D618" s="403">
        <v>69</v>
      </c>
      <c r="E618" s="402">
        <v>69</v>
      </c>
      <c r="F618" s="402">
        <v>60</v>
      </c>
      <c r="G618" s="402">
        <v>30</v>
      </c>
      <c r="H618" s="402">
        <v>10</v>
      </c>
      <c r="I618" s="402">
        <v>2</v>
      </c>
      <c r="J618" s="402" t="s">
        <v>1123</v>
      </c>
      <c r="K618" s="402">
        <v>40</v>
      </c>
      <c r="L618" s="402" t="s">
        <v>1134</v>
      </c>
      <c r="M618" s="403" t="s">
        <v>419</v>
      </c>
      <c r="N618" s="402" t="s">
        <v>1112</v>
      </c>
      <c r="O618" s="401">
        <v>10</v>
      </c>
      <c r="P618" s="405" t="s">
        <v>2423</v>
      </c>
      <c r="Q618" s="405"/>
      <c r="R618" s="407"/>
      <c r="S618" s="405"/>
      <c r="T618" s="405"/>
      <c r="U618" s="407"/>
      <c r="V618" s="408"/>
      <c r="W618" s="405"/>
      <c r="X618" s="406"/>
      <c r="Y618" s="379"/>
      <c r="Z618" s="379"/>
    </row>
    <row r="619" spans="1:26" ht="122.4">
      <c r="A619" s="400" t="s">
        <v>2374</v>
      </c>
      <c r="B619" s="401" t="s">
        <v>2424</v>
      </c>
      <c r="C619" s="402" t="s">
        <v>2425</v>
      </c>
      <c r="D619" s="403">
        <v>75</v>
      </c>
      <c r="E619" s="402">
        <v>70</v>
      </c>
      <c r="F619" s="402">
        <v>60</v>
      </c>
      <c r="G619" s="402">
        <v>30</v>
      </c>
      <c r="H619" s="402">
        <v>6</v>
      </c>
      <c r="I619" s="402">
        <v>2</v>
      </c>
      <c r="J619" s="402" t="s">
        <v>1137</v>
      </c>
      <c r="K619" s="402">
        <v>35</v>
      </c>
      <c r="L619" s="402" t="s">
        <v>1145</v>
      </c>
      <c r="M619" s="403" t="s">
        <v>419</v>
      </c>
      <c r="N619" s="402" t="s">
        <v>1112</v>
      </c>
      <c r="O619" s="401">
        <v>6</v>
      </c>
      <c r="P619" s="405" t="s">
        <v>2426</v>
      </c>
      <c r="Q619" s="405" t="s">
        <v>2427</v>
      </c>
      <c r="R619" s="407"/>
      <c r="S619" s="405"/>
      <c r="T619" s="405"/>
      <c r="U619" s="407"/>
      <c r="V619" s="408"/>
      <c r="W619" s="405"/>
      <c r="X619" s="406"/>
      <c r="Y619" s="379"/>
      <c r="Z619" s="379"/>
    </row>
    <row r="620" spans="1:26" ht="40.799999999999997">
      <c r="A620" s="400" t="s">
        <v>2374</v>
      </c>
      <c r="B620" s="401" t="s">
        <v>2428</v>
      </c>
      <c r="C620" s="402" t="s">
        <v>2429</v>
      </c>
      <c r="D620" s="403">
        <v>75</v>
      </c>
      <c r="E620" s="402">
        <v>70</v>
      </c>
      <c r="F620" s="402">
        <v>60</v>
      </c>
      <c r="G620" s="402">
        <v>30</v>
      </c>
      <c r="H620" s="402">
        <v>12</v>
      </c>
      <c r="I620" s="402">
        <v>2</v>
      </c>
      <c r="J620" s="402" t="s">
        <v>1110</v>
      </c>
      <c r="K620" s="402">
        <v>35</v>
      </c>
      <c r="L620" s="402" t="s">
        <v>1339</v>
      </c>
      <c r="M620" s="403" t="s">
        <v>419</v>
      </c>
      <c r="N620" s="402" t="s">
        <v>1112</v>
      </c>
      <c r="O620" s="401">
        <v>6</v>
      </c>
      <c r="P620" s="405" t="s">
        <v>2430</v>
      </c>
      <c r="Q620" s="405"/>
      <c r="R620" s="407"/>
      <c r="S620" s="405"/>
      <c r="T620" s="405"/>
      <c r="U620" s="407"/>
      <c r="V620" s="408"/>
      <c r="W620" s="405"/>
      <c r="X620" s="406"/>
      <c r="Y620" s="379"/>
      <c r="Z620" s="379"/>
    </row>
    <row r="621" spans="1:26">
      <c r="A621" s="400" t="s">
        <v>2374</v>
      </c>
      <c r="B621" s="401" t="s">
        <v>2431</v>
      </c>
      <c r="C621" s="402" t="s">
        <v>2432</v>
      </c>
      <c r="D621" s="403">
        <v>75</v>
      </c>
      <c r="E621" s="402">
        <v>70</v>
      </c>
      <c r="F621" s="402">
        <v>60</v>
      </c>
      <c r="G621" s="402">
        <v>30</v>
      </c>
      <c r="H621" s="402">
        <v>6</v>
      </c>
      <c r="I621" s="402">
        <v>2</v>
      </c>
      <c r="J621" s="402" t="s">
        <v>1123</v>
      </c>
      <c r="K621" s="402">
        <v>40</v>
      </c>
      <c r="L621" s="402" t="s">
        <v>1124</v>
      </c>
      <c r="M621" s="403" t="s">
        <v>419</v>
      </c>
      <c r="N621" s="402" t="s">
        <v>1112</v>
      </c>
      <c r="O621" s="401">
        <v>6</v>
      </c>
      <c r="P621" s="405"/>
      <c r="Q621" s="405"/>
      <c r="R621" s="407"/>
      <c r="S621" s="405"/>
      <c r="T621" s="405"/>
      <c r="U621" s="407"/>
      <c r="V621" s="408"/>
      <c r="W621" s="405"/>
      <c r="X621" s="406"/>
      <c r="Y621" s="379"/>
      <c r="Z621" s="379"/>
    </row>
    <row r="622" spans="1:26" ht="30.6">
      <c r="A622" s="400" t="s">
        <v>2374</v>
      </c>
      <c r="B622" s="401" t="s">
        <v>2433</v>
      </c>
      <c r="C622" s="402" t="s">
        <v>2434</v>
      </c>
      <c r="D622" s="403" t="s">
        <v>404</v>
      </c>
      <c r="E622" s="402" t="s">
        <v>404</v>
      </c>
      <c r="F622" s="402" t="s">
        <v>404</v>
      </c>
      <c r="G622" s="402" t="s">
        <v>404</v>
      </c>
      <c r="H622" s="402">
        <v>12</v>
      </c>
      <c r="I622" s="402" t="s">
        <v>404</v>
      </c>
      <c r="J622" s="402" t="s">
        <v>1123</v>
      </c>
      <c r="K622" s="402">
        <v>45</v>
      </c>
      <c r="L622" s="402" t="s">
        <v>1134</v>
      </c>
      <c r="M622" s="403" t="s">
        <v>420</v>
      </c>
      <c r="N622" s="402" t="s">
        <v>1112</v>
      </c>
      <c r="O622" s="401">
        <v>12</v>
      </c>
      <c r="P622" s="405" t="s">
        <v>2435</v>
      </c>
      <c r="Q622" s="405"/>
      <c r="R622" s="407"/>
      <c r="S622" s="405"/>
      <c r="T622" s="405"/>
      <c r="U622" s="407"/>
      <c r="V622" s="408"/>
      <c r="W622" s="405"/>
      <c r="X622" s="406"/>
      <c r="Y622" s="379"/>
      <c r="Z622" s="379"/>
    </row>
    <row r="623" spans="1:26" ht="40.799999999999997">
      <c r="A623" s="400" t="s">
        <v>2374</v>
      </c>
      <c r="B623" s="401" t="s">
        <v>1414</v>
      </c>
      <c r="C623" s="402" t="s">
        <v>2436</v>
      </c>
      <c r="D623" s="403">
        <v>75</v>
      </c>
      <c r="E623" s="402">
        <v>70</v>
      </c>
      <c r="F623" s="402">
        <v>60</v>
      </c>
      <c r="G623" s="402">
        <v>30</v>
      </c>
      <c r="H623" s="402">
        <v>8</v>
      </c>
      <c r="I623" s="402">
        <v>2</v>
      </c>
      <c r="J623" s="402" t="s">
        <v>1137</v>
      </c>
      <c r="K623" s="402">
        <v>40</v>
      </c>
      <c r="L623" s="402" t="s">
        <v>1145</v>
      </c>
      <c r="M623" s="403" t="s">
        <v>419</v>
      </c>
      <c r="N623" s="402" t="s">
        <v>1139</v>
      </c>
      <c r="O623" s="401">
        <v>4</v>
      </c>
      <c r="P623" s="405" t="s">
        <v>2437</v>
      </c>
      <c r="Q623" s="405"/>
      <c r="R623" s="407"/>
      <c r="S623" s="405"/>
      <c r="T623" s="405"/>
      <c r="U623" s="407"/>
      <c r="V623" s="408"/>
      <c r="W623" s="405"/>
      <c r="X623" s="406"/>
      <c r="Y623" s="379"/>
      <c r="Z623" s="379"/>
    </row>
    <row r="624" spans="1:26" ht="40.799999999999997">
      <c r="A624" s="400" t="s">
        <v>2374</v>
      </c>
      <c r="B624" s="401" t="s">
        <v>1414</v>
      </c>
      <c r="C624" s="402" t="s">
        <v>2438</v>
      </c>
      <c r="D624" s="403" t="s">
        <v>404</v>
      </c>
      <c r="E624" s="402" t="s">
        <v>404</v>
      </c>
      <c r="F624" s="402" t="s">
        <v>404</v>
      </c>
      <c r="G624" s="402" t="s">
        <v>404</v>
      </c>
      <c r="H624" s="402">
        <v>6</v>
      </c>
      <c r="I624" s="402" t="s">
        <v>404</v>
      </c>
      <c r="J624" s="402" t="s">
        <v>1123</v>
      </c>
      <c r="K624" s="402">
        <v>40</v>
      </c>
      <c r="L624" s="402" t="s">
        <v>1134</v>
      </c>
      <c r="M624" s="403" t="s">
        <v>420</v>
      </c>
      <c r="N624" s="402" t="s">
        <v>1112</v>
      </c>
      <c r="O624" s="401">
        <v>6</v>
      </c>
      <c r="P624" s="405" t="s">
        <v>2439</v>
      </c>
      <c r="Q624" s="405"/>
      <c r="R624" s="407"/>
      <c r="S624" s="405"/>
      <c r="T624" s="405"/>
      <c r="U624" s="407"/>
      <c r="V624" s="408"/>
      <c r="W624" s="405"/>
      <c r="X624" s="406"/>
      <c r="Y624" s="379"/>
      <c r="Z624" s="379"/>
    </row>
    <row r="625" spans="1:26">
      <c r="A625" s="400" t="s">
        <v>2374</v>
      </c>
      <c r="B625" s="401" t="s">
        <v>1414</v>
      </c>
      <c r="C625" s="402" t="s">
        <v>2440</v>
      </c>
      <c r="D625" s="403">
        <v>75</v>
      </c>
      <c r="E625" s="402">
        <v>70</v>
      </c>
      <c r="F625" s="402">
        <v>60</v>
      </c>
      <c r="G625" s="402">
        <v>30</v>
      </c>
      <c r="H625" s="402">
        <v>6</v>
      </c>
      <c r="I625" s="402">
        <v>2</v>
      </c>
      <c r="J625" s="402" t="s">
        <v>1137</v>
      </c>
      <c r="K625" s="402">
        <v>35</v>
      </c>
      <c r="L625" s="402" t="s">
        <v>1138</v>
      </c>
      <c r="M625" s="403" t="s">
        <v>419</v>
      </c>
      <c r="N625" s="402" t="s">
        <v>1139</v>
      </c>
      <c r="O625" s="401">
        <v>3</v>
      </c>
      <c r="P625" s="405"/>
      <c r="Q625" s="405"/>
      <c r="R625" s="407"/>
      <c r="S625" s="405"/>
      <c r="T625" s="405"/>
      <c r="U625" s="407"/>
      <c r="V625" s="408"/>
      <c r="W625" s="405"/>
      <c r="X625" s="406"/>
      <c r="Y625" s="379"/>
      <c r="Z625" s="379"/>
    </row>
    <row r="626" spans="1:26" ht="30.6">
      <c r="A626" s="400" t="s">
        <v>2374</v>
      </c>
      <c r="B626" s="401" t="s">
        <v>1414</v>
      </c>
      <c r="C626" s="402" t="s">
        <v>2441</v>
      </c>
      <c r="D626" s="403">
        <v>75</v>
      </c>
      <c r="E626" s="402">
        <v>70</v>
      </c>
      <c r="F626" s="402">
        <v>60</v>
      </c>
      <c r="G626" s="402">
        <v>30</v>
      </c>
      <c r="H626" s="402">
        <v>6</v>
      </c>
      <c r="I626" s="402">
        <v>2</v>
      </c>
      <c r="J626" s="402" t="s">
        <v>1137</v>
      </c>
      <c r="K626" s="402">
        <v>40</v>
      </c>
      <c r="L626" s="402" t="s">
        <v>1145</v>
      </c>
      <c r="M626" s="403" t="s">
        <v>419</v>
      </c>
      <c r="N626" s="402" t="s">
        <v>1139</v>
      </c>
      <c r="O626" s="401">
        <v>5</v>
      </c>
      <c r="P626" s="405" t="s">
        <v>2442</v>
      </c>
      <c r="Q626" s="405"/>
      <c r="R626" s="407"/>
      <c r="S626" s="405"/>
      <c r="T626" s="405"/>
      <c r="U626" s="407"/>
      <c r="V626" s="408"/>
      <c r="W626" s="405"/>
      <c r="X626" s="406"/>
      <c r="Y626" s="379"/>
      <c r="Z626" s="379"/>
    </row>
    <row r="627" spans="1:26">
      <c r="A627" s="400" t="s">
        <v>2374</v>
      </c>
      <c r="B627" s="401" t="s">
        <v>1414</v>
      </c>
      <c r="C627" s="402" t="s">
        <v>2443</v>
      </c>
      <c r="D627" s="403" t="s">
        <v>404</v>
      </c>
      <c r="E627" s="402" t="s">
        <v>404</v>
      </c>
      <c r="F627" s="402" t="s">
        <v>404</v>
      </c>
      <c r="G627" s="402" t="s">
        <v>404</v>
      </c>
      <c r="H627" s="402">
        <v>6</v>
      </c>
      <c r="I627" s="402" t="s">
        <v>404</v>
      </c>
      <c r="J627" s="402" t="s">
        <v>1123</v>
      </c>
      <c r="K627" s="402">
        <v>40</v>
      </c>
      <c r="L627" s="402" t="s">
        <v>1124</v>
      </c>
      <c r="M627" s="403" t="s">
        <v>420</v>
      </c>
      <c r="N627" s="402" t="s">
        <v>1112</v>
      </c>
      <c r="O627" s="401">
        <v>6</v>
      </c>
      <c r="P627" s="405"/>
      <c r="Q627" s="405"/>
      <c r="R627" s="407"/>
      <c r="S627" s="405"/>
      <c r="T627" s="405"/>
      <c r="U627" s="407"/>
      <c r="V627" s="408"/>
      <c r="W627" s="405"/>
      <c r="X627" s="406"/>
      <c r="Y627" s="379"/>
      <c r="Z627" s="379"/>
    </row>
    <row r="628" spans="1:26" ht="30.6">
      <c r="A628" s="400" t="s">
        <v>2374</v>
      </c>
      <c r="B628" s="401" t="s">
        <v>1414</v>
      </c>
      <c r="C628" s="402" t="s">
        <v>2444</v>
      </c>
      <c r="D628" s="403">
        <v>75</v>
      </c>
      <c r="E628" s="402">
        <v>70</v>
      </c>
      <c r="F628" s="402">
        <v>60</v>
      </c>
      <c r="G628" s="402">
        <v>30</v>
      </c>
      <c r="H628" s="402">
        <v>8</v>
      </c>
      <c r="I628" s="402">
        <v>2</v>
      </c>
      <c r="J628" s="402" t="s">
        <v>1123</v>
      </c>
      <c r="K628" s="402">
        <v>40</v>
      </c>
      <c r="L628" s="402" t="s">
        <v>1124</v>
      </c>
      <c r="M628" s="403" t="s">
        <v>419</v>
      </c>
      <c r="N628" s="402" t="s">
        <v>1112</v>
      </c>
      <c r="O628" s="401">
        <v>8</v>
      </c>
      <c r="P628" s="405" t="s">
        <v>2445</v>
      </c>
      <c r="Q628" s="405"/>
      <c r="R628" s="407"/>
      <c r="S628" s="405"/>
      <c r="T628" s="405"/>
      <c r="U628" s="407"/>
      <c r="V628" s="408"/>
      <c r="W628" s="405"/>
      <c r="X628" s="406"/>
      <c r="Y628" s="379"/>
      <c r="Z628" s="379"/>
    </row>
    <row r="629" spans="1:26" ht="51">
      <c r="A629" s="400" t="s">
        <v>2374</v>
      </c>
      <c r="B629" s="401" t="s">
        <v>1414</v>
      </c>
      <c r="C629" s="402" t="s">
        <v>2446</v>
      </c>
      <c r="D629" s="403">
        <v>75</v>
      </c>
      <c r="E629" s="402">
        <v>70</v>
      </c>
      <c r="F629" s="402">
        <v>60</v>
      </c>
      <c r="G629" s="402">
        <v>30</v>
      </c>
      <c r="H629" s="402">
        <v>8</v>
      </c>
      <c r="I629" s="402">
        <v>2</v>
      </c>
      <c r="J629" s="402" t="s">
        <v>1137</v>
      </c>
      <c r="K629" s="402">
        <v>40</v>
      </c>
      <c r="L629" s="402" t="s">
        <v>1138</v>
      </c>
      <c r="M629" s="403" t="s">
        <v>419</v>
      </c>
      <c r="N629" s="402" t="s">
        <v>1139</v>
      </c>
      <c r="O629" s="401">
        <v>4</v>
      </c>
      <c r="P629" s="405" t="s">
        <v>2447</v>
      </c>
      <c r="Q629" s="405"/>
      <c r="R629" s="407"/>
      <c r="S629" s="405"/>
      <c r="T629" s="405"/>
      <c r="U629" s="407"/>
      <c r="V629" s="408"/>
      <c r="W629" s="405"/>
      <c r="X629" s="406"/>
      <c r="Y629" s="379"/>
      <c r="Z629" s="379"/>
    </row>
    <row r="630" spans="1:26" ht="61.2">
      <c r="A630" s="400" t="s">
        <v>2374</v>
      </c>
      <c r="B630" s="401" t="s">
        <v>1414</v>
      </c>
      <c r="C630" s="402" t="s">
        <v>2448</v>
      </c>
      <c r="D630" s="403">
        <v>75</v>
      </c>
      <c r="E630" s="402">
        <v>70</v>
      </c>
      <c r="F630" s="402">
        <v>60</v>
      </c>
      <c r="G630" s="402">
        <v>30</v>
      </c>
      <c r="H630" s="402">
        <v>6</v>
      </c>
      <c r="I630" s="402">
        <v>2</v>
      </c>
      <c r="J630" s="402" t="s">
        <v>1123</v>
      </c>
      <c r="K630" s="402">
        <v>40</v>
      </c>
      <c r="L630" s="402" t="s">
        <v>1134</v>
      </c>
      <c r="M630" s="403" t="s">
        <v>419</v>
      </c>
      <c r="N630" s="402" t="s">
        <v>1112</v>
      </c>
      <c r="O630" s="401">
        <v>6</v>
      </c>
      <c r="P630" s="405" t="s">
        <v>2423</v>
      </c>
      <c r="Q630" s="405"/>
      <c r="R630" s="407"/>
      <c r="S630" s="405"/>
      <c r="T630" s="405"/>
      <c r="U630" s="407"/>
      <c r="V630" s="408"/>
      <c r="W630" s="405"/>
      <c r="X630" s="406"/>
      <c r="Y630" s="379"/>
      <c r="Z630" s="379"/>
    </row>
    <row r="631" spans="1:26" ht="51">
      <c r="A631" s="452" t="s">
        <v>2449</v>
      </c>
      <c r="B631" s="410" t="s">
        <v>1121</v>
      </c>
      <c r="C631" s="455" t="s">
        <v>2450</v>
      </c>
      <c r="D631" s="403">
        <v>75</v>
      </c>
      <c r="E631" s="402">
        <v>70</v>
      </c>
      <c r="F631" s="402">
        <v>60</v>
      </c>
      <c r="G631" s="410">
        <v>30</v>
      </c>
      <c r="H631" s="402">
        <v>10</v>
      </c>
      <c r="I631" s="402" t="s">
        <v>404</v>
      </c>
      <c r="J631" s="402" t="s">
        <v>1123</v>
      </c>
      <c r="K631" s="402">
        <v>40</v>
      </c>
      <c r="L631" s="402" t="s">
        <v>1124</v>
      </c>
      <c r="M631" s="403" t="s">
        <v>419</v>
      </c>
      <c r="N631" s="402" t="s">
        <v>1112</v>
      </c>
      <c r="O631" s="411"/>
      <c r="P631" s="405" t="s">
        <v>1125</v>
      </c>
      <c r="Q631" s="405"/>
      <c r="R631" s="407"/>
      <c r="S631" s="405"/>
      <c r="T631" s="405"/>
      <c r="U631" s="407"/>
      <c r="V631" s="451"/>
      <c r="W631" s="405"/>
      <c r="X631" s="406"/>
      <c r="Y631" s="379"/>
      <c r="Z631" s="379"/>
    </row>
    <row r="632" spans="1:26" ht="51">
      <c r="A632" s="452" t="s">
        <v>2449</v>
      </c>
      <c r="B632" s="410" t="s">
        <v>1126</v>
      </c>
      <c r="C632" s="402" t="s">
        <v>2451</v>
      </c>
      <c r="D632" s="403">
        <v>75</v>
      </c>
      <c r="E632" s="402">
        <v>70</v>
      </c>
      <c r="F632" s="402">
        <v>60</v>
      </c>
      <c r="G632" s="410">
        <v>30</v>
      </c>
      <c r="H632" s="402">
        <v>10</v>
      </c>
      <c r="I632" s="402" t="s">
        <v>404</v>
      </c>
      <c r="J632" s="402" t="s">
        <v>1123</v>
      </c>
      <c r="K632" s="402">
        <v>40</v>
      </c>
      <c r="L632" s="402" t="s">
        <v>1124</v>
      </c>
      <c r="M632" s="403" t="s">
        <v>419</v>
      </c>
      <c r="N632" s="402" t="s">
        <v>1112</v>
      </c>
      <c r="O632" s="411"/>
      <c r="P632" s="405" t="s">
        <v>1125</v>
      </c>
      <c r="Q632" s="405"/>
      <c r="R632" s="407"/>
      <c r="S632" s="405"/>
      <c r="T632" s="405"/>
      <c r="U632" s="407"/>
      <c r="V632" s="451"/>
      <c r="W632" s="405"/>
      <c r="X632" s="406"/>
      <c r="Y632" s="379"/>
      <c r="Z632" s="379"/>
    </row>
    <row r="633" spans="1:26" ht="51">
      <c r="A633" s="452" t="s">
        <v>2449</v>
      </c>
      <c r="B633" s="410" t="s">
        <v>1128</v>
      </c>
      <c r="C633" s="402" t="s">
        <v>2452</v>
      </c>
      <c r="D633" s="402">
        <v>75</v>
      </c>
      <c r="E633" s="402">
        <v>70</v>
      </c>
      <c r="F633" s="402">
        <v>60</v>
      </c>
      <c r="G633" s="410">
        <v>30</v>
      </c>
      <c r="H633" s="402">
        <v>10</v>
      </c>
      <c r="I633" s="402" t="s">
        <v>404</v>
      </c>
      <c r="J633" s="402" t="s">
        <v>1123</v>
      </c>
      <c r="K633" s="402">
        <v>40</v>
      </c>
      <c r="L633" s="402" t="s">
        <v>1124</v>
      </c>
      <c r="M633" s="402" t="s">
        <v>419</v>
      </c>
      <c r="N633" s="402" t="s">
        <v>1112</v>
      </c>
      <c r="O633" s="411"/>
      <c r="P633" s="405" t="s">
        <v>1125</v>
      </c>
      <c r="Q633" s="405"/>
      <c r="R633" s="407"/>
      <c r="S633" s="405"/>
      <c r="T633" s="405"/>
      <c r="U633" s="407"/>
      <c r="V633" s="451"/>
      <c r="W633" s="405"/>
      <c r="X633" s="406"/>
      <c r="Y633" s="379"/>
      <c r="Z633" s="379"/>
    </row>
    <row r="634" spans="1:26" ht="51">
      <c r="A634" s="452" t="s">
        <v>2449</v>
      </c>
      <c r="B634" s="410" t="s">
        <v>1130</v>
      </c>
      <c r="C634" s="402" t="s">
        <v>2453</v>
      </c>
      <c r="D634" s="402">
        <v>75</v>
      </c>
      <c r="E634" s="402">
        <v>70</v>
      </c>
      <c r="F634" s="402">
        <v>60</v>
      </c>
      <c r="G634" s="410">
        <v>30</v>
      </c>
      <c r="H634" s="402">
        <v>10</v>
      </c>
      <c r="I634" s="402" t="s">
        <v>404</v>
      </c>
      <c r="J634" s="402" t="s">
        <v>1123</v>
      </c>
      <c r="K634" s="402">
        <v>40</v>
      </c>
      <c r="L634" s="402" t="s">
        <v>1124</v>
      </c>
      <c r="M634" s="402" t="s">
        <v>419</v>
      </c>
      <c r="N634" s="402" t="s">
        <v>1112</v>
      </c>
      <c r="O634" s="417"/>
      <c r="P634" s="405" t="s">
        <v>1125</v>
      </c>
      <c r="Q634" s="405"/>
      <c r="R634" s="407"/>
      <c r="S634" s="405"/>
      <c r="T634" s="405"/>
      <c r="U634" s="407"/>
      <c r="V634" s="451"/>
      <c r="W634" s="405"/>
      <c r="X634" s="406"/>
      <c r="Y634" s="379"/>
      <c r="Z634" s="379"/>
    </row>
    <row r="635" spans="1:26" ht="20.399999999999999">
      <c r="A635" s="452" t="s">
        <v>2449</v>
      </c>
      <c r="B635" s="410" t="s">
        <v>1132</v>
      </c>
      <c r="C635" s="410" t="s">
        <v>2454</v>
      </c>
      <c r="D635" s="402" t="s">
        <v>404</v>
      </c>
      <c r="E635" s="402" t="s">
        <v>404</v>
      </c>
      <c r="F635" s="402" t="s">
        <v>404</v>
      </c>
      <c r="G635" s="402" t="s">
        <v>404</v>
      </c>
      <c r="H635" s="402">
        <v>10</v>
      </c>
      <c r="I635" s="402" t="s">
        <v>404</v>
      </c>
      <c r="J635" s="402" t="s">
        <v>1123</v>
      </c>
      <c r="K635" s="402">
        <v>40</v>
      </c>
      <c r="L635" s="402" t="s">
        <v>1134</v>
      </c>
      <c r="M635" s="402" t="s">
        <v>420</v>
      </c>
      <c r="N635" s="402" t="s">
        <v>1112</v>
      </c>
      <c r="O635" s="417"/>
      <c r="P635" s="405"/>
      <c r="Q635" s="405"/>
      <c r="R635" s="407"/>
      <c r="S635" s="405"/>
      <c r="T635" s="405"/>
      <c r="U635" s="407"/>
      <c r="V635" s="406"/>
      <c r="W635" s="405"/>
      <c r="X635" s="406"/>
      <c r="Y635" s="379"/>
      <c r="Z635" s="379"/>
    </row>
    <row r="636" spans="1:26">
      <c r="A636" s="452" t="s">
        <v>2449</v>
      </c>
      <c r="B636" s="410" t="s">
        <v>2455</v>
      </c>
      <c r="C636" s="410" t="s">
        <v>2456</v>
      </c>
      <c r="D636" s="402">
        <v>75</v>
      </c>
      <c r="E636" s="402">
        <v>70</v>
      </c>
      <c r="F636" s="402">
        <v>60</v>
      </c>
      <c r="G636" s="402">
        <v>30</v>
      </c>
      <c r="H636" s="402">
        <v>4</v>
      </c>
      <c r="I636" s="402">
        <v>2</v>
      </c>
      <c r="J636" s="402" t="s">
        <v>1137</v>
      </c>
      <c r="K636" s="402">
        <v>40</v>
      </c>
      <c r="L636" s="402" t="s">
        <v>1138</v>
      </c>
      <c r="M636" s="402" t="s">
        <v>419</v>
      </c>
      <c r="N636" s="402" t="s">
        <v>1139</v>
      </c>
      <c r="O636" s="411"/>
      <c r="P636" s="405"/>
      <c r="Q636" s="405"/>
      <c r="R636" s="407"/>
      <c r="S636" s="405"/>
      <c r="T636" s="405"/>
      <c r="U636" s="407"/>
      <c r="V636" s="451"/>
      <c r="W636" s="405"/>
      <c r="X636" s="406"/>
      <c r="Y636" s="379"/>
      <c r="Z636" s="379"/>
    </row>
    <row r="637" spans="1:26" ht="71.400000000000006">
      <c r="A637" s="452" t="s">
        <v>2449</v>
      </c>
      <c r="B637" s="410" t="s">
        <v>2457</v>
      </c>
      <c r="C637" s="410" t="s">
        <v>2458</v>
      </c>
      <c r="D637" s="410" t="s">
        <v>2459</v>
      </c>
      <c r="E637" s="410">
        <v>68</v>
      </c>
      <c r="F637" s="410">
        <v>70</v>
      </c>
      <c r="G637" s="410">
        <v>30</v>
      </c>
      <c r="H637" s="410">
        <v>15</v>
      </c>
      <c r="I637" s="410">
        <v>15</v>
      </c>
      <c r="J637" s="410" t="s">
        <v>1123</v>
      </c>
      <c r="K637" s="410">
        <v>35</v>
      </c>
      <c r="L637" s="410" t="s">
        <v>1124</v>
      </c>
      <c r="M637" s="410" t="s">
        <v>419</v>
      </c>
      <c r="N637" s="410" t="s">
        <v>1112</v>
      </c>
      <c r="O637" s="411"/>
      <c r="P637" s="405" t="s">
        <v>2136</v>
      </c>
      <c r="Q637" s="405"/>
      <c r="R637" s="407"/>
      <c r="S637" s="405"/>
      <c r="T637" s="405"/>
      <c r="U637" s="407"/>
      <c r="V637" s="451"/>
      <c r="W637" s="405"/>
      <c r="X637" s="406"/>
      <c r="Y637" s="379"/>
      <c r="Z637" s="379"/>
    </row>
    <row r="638" spans="1:26" ht="71.400000000000006">
      <c r="A638" s="452" t="s">
        <v>2449</v>
      </c>
      <c r="B638" s="410" t="s">
        <v>2460</v>
      </c>
      <c r="C638" s="410" t="s">
        <v>2461</v>
      </c>
      <c r="D638" s="403" t="s">
        <v>404</v>
      </c>
      <c r="E638" s="402">
        <v>60</v>
      </c>
      <c r="F638" s="402" t="s">
        <v>404</v>
      </c>
      <c r="G638" s="402" t="s">
        <v>404</v>
      </c>
      <c r="H638" s="402" t="s">
        <v>404</v>
      </c>
      <c r="I638" s="402" t="s">
        <v>404</v>
      </c>
      <c r="J638" s="402" t="s">
        <v>1137</v>
      </c>
      <c r="K638" s="402">
        <v>45</v>
      </c>
      <c r="L638" s="402" t="s">
        <v>1138</v>
      </c>
      <c r="M638" s="403" t="s">
        <v>419</v>
      </c>
      <c r="N638" s="402" t="s">
        <v>1112</v>
      </c>
      <c r="O638" s="411"/>
      <c r="P638" s="405" t="s">
        <v>2136</v>
      </c>
      <c r="Q638" s="405"/>
      <c r="R638" s="407"/>
      <c r="S638" s="405"/>
      <c r="T638" s="405"/>
      <c r="U638" s="407"/>
      <c r="V638" s="451"/>
      <c r="W638" s="405"/>
      <c r="X638" s="406"/>
      <c r="Y638" s="379"/>
      <c r="Z638" s="379"/>
    </row>
    <row r="639" spans="1:26" ht="51">
      <c r="A639" s="450" t="s">
        <v>2449</v>
      </c>
      <c r="B639" s="410" t="s">
        <v>2462</v>
      </c>
      <c r="C639" s="410" t="s">
        <v>2463</v>
      </c>
      <c r="D639" s="403">
        <v>72</v>
      </c>
      <c r="E639" s="402">
        <v>72</v>
      </c>
      <c r="F639" s="402">
        <v>55</v>
      </c>
      <c r="G639" s="402">
        <v>40</v>
      </c>
      <c r="H639" s="402">
        <v>8</v>
      </c>
      <c r="I639" s="402">
        <v>8</v>
      </c>
      <c r="J639" s="402" t="s">
        <v>1123</v>
      </c>
      <c r="K639" s="402">
        <v>35</v>
      </c>
      <c r="L639" s="402" t="s">
        <v>1124</v>
      </c>
      <c r="M639" s="403" t="s">
        <v>419</v>
      </c>
      <c r="N639" s="402" t="s">
        <v>1112</v>
      </c>
      <c r="O639" s="401"/>
      <c r="P639" s="405" t="s">
        <v>2464</v>
      </c>
      <c r="Q639" s="405"/>
      <c r="R639" s="407"/>
      <c r="S639" s="405"/>
      <c r="T639" s="405"/>
      <c r="U639" s="407"/>
      <c r="V639" s="451"/>
      <c r="W639" s="405"/>
      <c r="X639" s="406"/>
      <c r="Y639" s="379"/>
      <c r="Z639" s="379"/>
    </row>
    <row r="640" spans="1:26" ht="30.6">
      <c r="A640" s="452" t="s">
        <v>2449</v>
      </c>
      <c r="B640" s="410" t="s">
        <v>2465</v>
      </c>
      <c r="C640" s="410" t="s">
        <v>2466</v>
      </c>
      <c r="D640" s="403">
        <v>72</v>
      </c>
      <c r="E640" s="402">
        <v>72</v>
      </c>
      <c r="F640" s="402">
        <v>55</v>
      </c>
      <c r="G640" s="402">
        <v>40</v>
      </c>
      <c r="H640" s="402">
        <v>15</v>
      </c>
      <c r="I640" s="402">
        <v>15</v>
      </c>
      <c r="J640" s="402" t="s">
        <v>1110</v>
      </c>
      <c r="K640" s="402">
        <v>40</v>
      </c>
      <c r="L640" s="402" t="s">
        <v>1124</v>
      </c>
      <c r="M640" s="403" t="s">
        <v>419</v>
      </c>
      <c r="N640" s="402" t="s">
        <v>1112</v>
      </c>
      <c r="O640" s="401"/>
      <c r="P640" s="405" t="s">
        <v>1191</v>
      </c>
      <c r="Q640" s="405"/>
      <c r="R640" s="407"/>
      <c r="S640" s="405"/>
      <c r="T640" s="405"/>
      <c r="U640" s="407"/>
      <c r="V640" s="451"/>
      <c r="W640" s="405"/>
      <c r="X640" s="406"/>
      <c r="Y640" s="379"/>
      <c r="Z640" s="379"/>
    </row>
    <row r="641" spans="1:26" ht="40.799999999999997">
      <c r="A641" s="450" t="s">
        <v>2449</v>
      </c>
      <c r="B641" s="410" t="s">
        <v>2467</v>
      </c>
      <c r="C641" s="410" t="s">
        <v>2468</v>
      </c>
      <c r="D641" s="403">
        <v>72</v>
      </c>
      <c r="E641" s="402">
        <v>72</v>
      </c>
      <c r="F641" s="402">
        <v>55</v>
      </c>
      <c r="G641" s="402">
        <v>40</v>
      </c>
      <c r="H641" s="402">
        <v>15</v>
      </c>
      <c r="I641" s="402">
        <v>15</v>
      </c>
      <c r="J641" s="402" t="s">
        <v>1123</v>
      </c>
      <c r="K641" s="402">
        <v>40</v>
      </c>
      <c r="L641" s="402" t="s">
        <v>1124</v>
      </c>
      <c r="M641" s="403" t="s">
        <v>419</v>
      </c>
      <c r="N641" s="402" t="s">
        <v>1112</v>
      </c>
      <c r="O641" s="401"/>
      <c r="P641" s="405" t="s">
        <v>2469</v>
      </c>
      <c r="Q641" s="405"/>
      <c r="R641" s="407"/>
      <c r="S641" s="405"/>
      <c r="T641" s="405"/>
      <c r="U641" s="407"/>
      <c r="V641" s="451"/>
      <c r="W641" s="405"/>
      <c r="X641" s="406"/>
      <c r="Y641" s="379"/>
      <c r="Z641" s="379"/>
    </row>
    <row r="642" spans="1:26" ht="51">
      <c r="A642" s="450" t="s">
        <v>2449</v>
      </c>
      <c r="B642" s="410" t="s">
        <v>2470</v>
      </c>
      <c r="C642" s="410" t="s">
        <v>2471</v>
      </c>
      <c r="D642" s="403">
        <v>65</v>
      </c>
      <c r="E642" s="402">
        <v>65</v>
      </c>
      <c r="F642" s="402">
        <v>60</v>
      </c>
      <c r="G642" s="402">
        <v>45</v>
      </c>
      <c r="H642" s="402">
        <v>4</v>
      </c>
      <c r="I642" s="402">
        <v>4</v>
      </c>
      <c r="J642" s="402" t="s">
        <v>1123</v>
      </c>
      <c r="K642" s="402">
        <v>35</v>
      </c>
      <c r="L642" s="402" t="s">
        <v>1124</v>
      </c>
      <c r="M642" s="403" t="s">
        <v>419</v>
      </c>
      <c r="N642" s="402" t="s">
        <v>1112</v>
      </c>
      <c r="O642" s="401"/>
      <c r="P642" s="405" t="s">
        <v>2472</v>
      </c>
      <c r="Q642" s="405"/>
      <c r="R642" s="407"/>
      <c r="S642" s="405"/>
      <c r="T642" s="405"/>
      <c r="U642" s="407"/>
      <c r="V642" s="451"/>
      <c r="W642" s="405"/>
      <c r="X642" s="406"/>
      <c r="Y642" s="379"/>
      <c r="Z642" s="379"/>
    </row>
    <row r="643" spans="1:26">
      <c r="A643" s="450" t="s">
        <v>2449</v>
      </c>
      <c r="B643" s="410" t="s">
        <v>2473</v>
      </c>
      <c r="C643" s="410" t="s">
        <v>2474</v>
      </c>
      <c r="D643" s="403">
        <v>65</v>
      </c>
      <c r="E643" s="402">
        <v>65</v>
      </c>
      <c r="F643" s="402">
        <v>60</v>
      </c>
      <c r="G643" s="402">
        <v>45</v>
      </c>
      <c r="H643" s="402">
        <v>15</v>
      </c>
      <c r="I643" s="402">
        <v>15</v>
      </c>
      <c r="J643" s="402" t="s">
        <v>1123</v>
      </c>
      <c r="K643" s="402">
        <v>35</v>
      </c>
      <c r="L643" s="402" t="s">
        <v>1145</v>
      </c>
      <c r="M643" s="403" t="s">
        <v>419</v>
      </c>
      <c r="N643" s="402" t="s">
        <v>1112</v>
      </c>
      <c r="O643" s="401"/>
      <c r="P643" s="405"/>
      <c r="Q643" s="405"/>
      <c r="R643" s="407"/>
      <c r="S643" s="405"/>
      <c r="T643" s="405"/>
      <c r="U643" s="407"/>
      <c r="V643" s="451"/>
      <c r="W643" s="405"/>
      <c r="X643" s="406"/>
      <c r="Y643" s="379"/>
      <c r="Z643" s="379"/>
    </row>
    <row r="644" spans="1:26" ht="40.799999999999997">
      <c r="A644" s="450" t="s">
        <v>2449</v>
      </c>
      <c r="B644" s="410" t="s">
        <v>2475</v>
      </c>
      <c r="C644" s="410" t="s">
        <v>2476</v>
      </c>
      <c r="D644" s="403">
        <v>65</v>
      </c>
      <c r="E644" s="402">
        <v>80</v>
      </c>
      <c r="F644" s="402">
        <v>60</v>
      </c>
      <c r="G644" s="402">
        <v>45</v>
      </c>
      <c r="H644" s="402">
        <v>10</v>
      </c>
      <c r="I644" s="402">
        <v>10</v>
      </c>
      <c r="J644" s="402" t="s">
        <v>1123</v>
      </c>
      <c r="K644" s="402">
        <v>40</v>
      </c>
      <c r="L644" s="402" t="s">
        <v>1899</v>
      </c>
      <c r="M644" s="403" t="s">
        <v>419</v>
      </c>
      <c r="N644" s="402" t="s">
        <v>1112</v>
      </c>
      <c r="O644" s="401"/>
      <c r="P644" s="405" t="s">
        <v>2477</v>
      </c>
      <c r="Q644" s="405"/>
      <c r="R644" s="407"/>
      <c r="S644" s="405"/>
      <c r="T644" s="405"/>
      <c r="U644" s="407"/>
      <c r="V644" s="451"/>
      <c r="W644" s="405"/>
      <c r="X644" s="406"/>
      <c r="Y644" s="379"/>
      <c r="Z644" s="379"/>
    </row>
    <row r="645" spans="1:26">
      <c r="A645" s="450" t="s">
        <v>2449</v>
      </c>
      <c r="B645" s="410" t="s">
        <v>2478</v>
      </c>
      <c r="C645" s="410" t="s">
        <v>2479</v>
      </c>
      <c r="D645" s="403">
        <v>72</v>
      </c>
      <c r="E645" s="402">
        <v>72</v>
      </c>
      <c r="F645" s="402">
        <v>60</v>
      </c>
      <c r="G645" s="402">
        <v>45</v>
      </c>
      <c r="H645" s="402">
        <v>4</v>
      </c>
      <c r="I645" s="402">
        <v>4</v>
      </c>
      <c r="J645" s="402" t="s">
        <v>1123</v>
      </c>
      <c r="K645" s="402">
        <v>35</v>
      </c>
      <c r="L645" s="402" t="s">
        <v>1145</v>
      </c>
      <c r="M645" s="403" t="s">
        <v>419</v>
      </c>
      <c r="N645" s="402" t="s">
        <v>1112</v>
      </c>
      <c r="O645" s="401"/>
      <c r="P645" s="405"/>
      <c r="Q645" s="405"/>
      <c r="R645" s="407"/>
      <c r="S645" s="405"/>
      <c r="T645" s="405"/>
      <c r="U645" s="407"/>
      <c r="V645" s="451"/>
      <c r="W645" s="405"/>
      <c r="X645" s="406"/>
      <c r="Y645" s="379"/>
      <c r="Z645" s="379"/>
    </row>
    <row r="646" spans="1:26" ht="40.799999999999997">
      <c r="A646" s="450" t="s">
        <v>2449</v>
      </c>
      <c r="B646" s="410" t="s">
        <v>2480</v>
      </c>
      <c r="C646" s="410" t="s">
        <v>2481</v>
      </c>
      <c r="D646" s="403">
        <v>72</v>
      </c>
      <c r="E646" s="402">
        <v>72</v>
      </c>
      <c r="F646" s="402">
        <v>60</v>
      </c>
      <c r="G646" s="402">
        <v>45</v>
      </c>
      <c r="H646" s="402">
        <v>4</v>
      </c>
      <c r="I646" s="402">
        <v>4</v>
      </c>
      <c r="J646" s="402" t="s">
        <v>1123</v>
      </c>
      <c r="K646" s="402">
        <v>35</v>
      </c>
      <c r="L646" s="402" t="s">
        <v>1138</v>
      </c>
      <c r="M646" s="403" t="s">
        <v>419</v>
      </c>
      <c r="N646" s="402" t="s">
        <v>1112</v>
      </c>
      <c r="O646" s="401"/>
      <c r="P646" s="405" t="s">
        <v>2482</v>
      </c>
      <c r="Q646" s="405"/>
      <c r="R646" s="407"/>
      <c r="S646" s="405"/>
      <c r="T646" s="405"/>
      <c r="U646" s="407"/>
      <c r="V646" s="451"/>
      <c r="W646" s="405"/>
      <c r="X646" s="406"/>
      <c r="Y646" s="379"/>
      <c r="Z646" s="379"/>
    </row>
    <row r="647" spans="1:26" ht="40.799999999999997">
      <c r="A647" s="450" t="s">
        <v>2449</v>
      </c>
      <c r="B647" s="410" t="s">
        <v>2483</v>
      </c>
      <c r="C647" s="410" t="s">
        <v>2484</v>
      </c>
      <c r="D647" s="403">
        <v>72</v>
      </c>
      <c r="E647" s="402">
        <v>72</v>
      </c>
      <c r="F647" s="402">
        <v>60</v>
      </c>
      <c r="G647" s="402">
        <v>45</v>
      </c>
      <c r="H647" s="402">
        <v>4</v>
      </c>
      <c r="I647" s="402">
        <v>4</v>
      </c>
      <c r="J647" s="402" t="s">
        <v>1123</v>
      </c>
      <c r="K647" s="402">
        <v>35</v>
      </c>
      <c r="L647" s="402" t="s">
        <v>1138</v>
      </c>
      <c r="M647" s="403" t="s">
        <v>419</v>
      </c>
      <c r="N647" s="402" t="s">
        <v>1112</v>
      </c>
      <c r="O647" s="401"/>
      <c r="P647" s="405" t="s">
        <v>2482</v>
      </c>
      <c r="Q647" s="405"/>
      <c r="R647" s="407"/>
      <c r="S647" s="405"/>
      <c r="T647" s="405"/>
      <c r="U647" s="407"/>
      <c r="V647" s="451"/>
      <c r="W647" s="405"/>
      <c r="X647" s="406"/>
      <c r="Y647" s="379"/>
      <c r="Z647" s="379"/>
    </row>
    <row r="648" spans="1:26" ht="61.2">
      <c r="A648" s="452" t="s">
        <v>2449</v>
      </c>
      <c r="B648" s="410" t="s">
        <v>2485</v>
      </c>
      <c r="C648" s="410" t="s">
        <v>2486</v>
      </c>
      <c r="D648" s="403">
        <v>72</v>
      </c>
      <c r="E648" s="402">
        <v>72</v>
      </c>
      <c r="F648" s="402">
        <v>60</v>
      </c>
      <c r="G648" s="402">
        <v>45</v>
      </c>
      <c r="H648" s="402">
        <v>8</v>
      </c>
      <c r="I648" s="402">
        <v>8</v>
      </c>
      <c r="J648" s="402" t="s">
        <v>1123</v>
      </c>
      <c r="K648" s="402">
        <v>40</v>
      </c>
      <c r="L648" s="402" t="s">
        <v>1124</v>
      </c>
      <c r="M648" s="403" t="s">
        <v>419</v>
      </c>
      <c r="N648" s="402" t="s">
        <v>1112</v>
      </c>
      <c r="O648" s="401"/>
      <c r="P648" s="405" t="s">
        <v>2487</v>
      </c>
      <c r="Q648" s="405"/>
      <c r="R648" s="407"/>
      <c r="S648" s="405"/>
      <c r="T648" s="405"/>
      <c r="U648" s="407"/>
      <c r="V648" s="451"/>
      <c r="W648" s="405"/>
      <c r="X648" s="406"/>
      <c r="Y648" s="379"/>
      <c r="Z648" s="379"/>
    </row>
    <row r="649" spans="1:26" ht="61.2">
      <c r="A649" s="452" t="s">
        <v>2449</v>
      </c>
      <c r="B649" s="410" t="s">
        <v>2488</v>
      </c>
      <c r="C649" s="410" t="s">
        <v>2489</v>
      </c>
      <c r="D649" s="415">
        <v>72</v>
      </c>
      <c r="E649" s="410">
        <v>72</v>
      </c>
      <c r="F649" s="410">
        <v>60</v>
      </c>
      <c r="G649" s="410">
        <v>45</v>
      </c>
      <c r="H649" s="410">
        <v>8</v>
      </c>
      <c r="I649" s="402">
        <v>8</v>
      </c>
      <c r="J649" s="402" t="s">
        <v>1123</v>
      </c>
      <c r="K649" s="402">
        <v>40</v>
      </c>
      <c r="L649" s="402" t="s">
        <v>1124</v>
      </c>
      <c r="M649" s="403" t="s">
        <v>419</v>
      </c>
      <c r="N649" s="402" t="s">
        <v>1112</v>
      </c>
      <c r="O649" s="401"/>
      <c r="P649" s="405" t="s">
        <v>2487</v>
      </c>
      <c r="Q649" s="405"/>
      <c r="R649" s="407"/>
      <c r="S649" s="405"/>
      <c r="T649" s="405"/>
      <c r="U649" s="407"/>
      <c r="V649" s="451"/>
      <c r="W649" s="405"/>
      <c r="X649" s="406"/>
      <c r="Y649" s="379"/>
      <c r="Z649" s="379"/>
    </row>
    <row r="650" spans="1:26" ht="102">
      <c r="A650" s="452" t="s">
        <v>2449</v>
      </c>
      <c r="B650" s="410" t="s">
        <v>2490</v>
      </c>
      <c r="C650" s="410" t="s">
        <v>2491</v>
      </c>
      <c r="D650" s="415">
        <v>79</v>
      </c>
      <c r="E650" s="410">
        <v>68</v>
      </c>
      <c r="F650" s="410">
        <v>70</v>
      </c>
      <c r="G650" s="410">
        <v>30</v>
      </c>
      <c r="H650" s="410">
        <v>15</v>
      </c>
      <c r="I650" s="402">
        <v>15</v>
      </c>
      <c r="J650" s="402" t="s">
        <v>1123</v>
      </c>
      <c r="K650" s="402">
        <v>35</v>
      </c>
      <c r="L650" s="402" t="s">
        <v>1124</v>
      </c>
      <c r="M650" s="403" t="s">
        <v>419</v>
      </c>
      <c r="N650" s="402" t="s">
        <v>1112</v>
      </c>
      <c r="O650" s="401"/>
      <c r="P650" s="405" t="s">
        <v>2492</v>
      </c>
      <c r="Q650" s="405" t="s">
        <v>2493</v>
      </c>
      <c r="R650" s="407"/>
      <c r="S650" s="405"/>
      <c r="T650" s="405"/>
      <c r="U650" s="407"/>
      <c r="V650" s="451"/>
      <c r="W650" s="405"/>
      <c r="X650" s="406"/>
      <c r="Y650" s="379"/>
      <c r="Z650" s="379"/>
    </row>
    <row r="651" spans="1:26" ht="102">
      <c r="A651" s="452" t="s">
        <v>2449</v>
      </c>
      <c r="B651" s="410" t="s">
        <v>2494</v>
      </c>
      <c r="C651" s="410" t="s">
        <v>2495</v>
      </c>
      <c r="D651" s="415">
        <v>79</v>
      </c>
      <c r="E651" s="410">
        <v>68</v>
      </c>
      <c r="F651" s="410">
        <v>70</v>
      </c>
      <c r="G651" s="410">
        <v>30</v>
      </c>
      <c r="H651" s="410">
        <v>15</v>
      </c>
      <c r="I651" s="402">
        <v>15</v>
      </c>
      <c r="J651" s="402" t="s">
        <v>1123</v>
      </c>
      <c r="K651" s="402">
        <v>35</v>
      </c>
      <c r="L651" s="402" t="s">
        <v>1124</v>
      </c>
      <c r="M651" s="403" t="s">
        <v>419</v>
      </c>
      <c r="N651" s="402" t="s">
        <v>1112</v>
      </c>
      <c r="O651" s="401"/>
      <c r="P651" s="405" t="s">
        <v>2492</v>
      </c>
      <c r="Q651" s="405" t="s">
        <v>2493</v>
      </c>
      <c r="R651" s="407"/>
      <c r="S651" s="405"/>
      <c r="T651" s="405"/>
      <c r="U651" s="407"/>
      <c r="V651" s="451"/>
      <c r="W651" s="405"/>
      <c r="X651" s="406"/>
      <c r="Y651" s="379"/>
      <c r="Z651" s="379"/>
    </row>
    <row r="652" spans="1:26" ht="102">
      <c r="A652" s="452" t="s">
        <v>2449</v>
      </c>
      <c r="B652" s="410" t="s">
        <v>2496</v>
      </c>
      <c r="C652" s="410" t="s">
        <v>2497</v>
      </c>
      <c r="D652" s="415">
        <v>79</v>
      </c>
      <c r="E652" s="410">
        <v>68</v>
      </c>
      <c r="F652" s="410">
        <v>70</v>
      </c>
      <c r="G652" s="410">
        <v>30</v>
      </c>
      <c r="H652" s="410">
        <v>15</v>
      </c>
      <c r="I652" s="402">
        <v>15</v>
      </c>
      <c r="J652" s="402" t="s">
        <v>1123</v>
      </c>
      <c r="K652" s="402">
        <v>35</v>
      </c>
      <c r="L652" s="402" t="s">
        <v>1124</v>
      </c>
      <c r="M652" s="403" t="s">
        <v>419</v>
      </c>
      <c r="N652" s="402" t="s">
        <v>1112</v>
      </c>
      <c r="O652" s="401"/>
      <c r="P652" s="405" t="s">
        <v>2492</v>
      </c>
      <c r="Q652" s="405" t="s">
        <v>2493</v>
      </c>
      <c r="R652" s="407"/>
      <c r="S652" s="405"/>
      <c r="T652" s="405"/>
      <c r="U652" s="407"/>
      <c r="V652" s="451"/>
      <c r="W652" s="405"/>
      <c r="X652" s="406"/>
      <c r="Y652" s="379"/>
      <c r="Z652" s="379"/>
    </row>
    <row r="653" spans="1:26" ht="102">
      <c r="A653" s="452" t="s">
        <v>2449</v>
      </c>
      <c r="B653" s="410" t="s">
        <v>2498</v>
      </c>
      <c r="C653" s="410" t="s">
        <v>2499</v>
      </c>
      <c r="D653" s="415">
        <v>79</v>
      </c>
      <c r="E653" s="410">
        <v>68</v>
      </c>
      <c r="F653" s="410">
        <v>70</v>
      </c>
      <c r="G653" s="410">
        <v>30</v>
      </c>
      <c r="H653" s="410">
        <v>15</v>
      </c>
      <c r="I653" s="402">
        <v>15</v>
      </c>
      <c r="J653" s="402" t="s">
        <v>1123</v>
      </c>
      <c r="K653" s="402">
        <v>35</v>
      </c>
      <c r="L653" s="402" t="s">
        <v>1124</v>
      </c>
      <c r="M653" s="403" t="s">
        <v>419</v>
      </c>
      <c r="N653" s="402" t="s">
        <v>1112</v>
      </c>
      <c r="O653" s="401"/>
      <c r="P653" s="405" t="s">
        <v>2492</v>
      </c>
      <c r="Q653" s="405" t="s">
        <v>2493</v>
      </c>
      <c r="R653" s="407"/>
      <c r="S653" s="405"/>
      <c r="T653" s="405"/>
      <c r="U653" s="407"/>
      <c r="V653" s="451"/>
      <c r="W653" s="405"/>
      <c r="X653" s="406"/>
      <c r="Y653" s="379"/>
      <c r="Z653" s="379"/>
    </row>
    <row r="654" spans="1:26" ht="102">
      <c r="A654" s="452" t="s">
        <v>2449</v>
      </c>
      <c r="B654" s="410" t="s">
        <v>2500</v>
      </c>
      <c r="C654" s="410" t="s">
        <v>2501</v>
      </c>
      <c r="D654" s="415">
        <v>79</v>
      </c>
      <c r="E654" s="410">
        <v>68</v>
      </c>
      <c r="F654" s="410">
        <v>70</v>
      </c>
      <c r="G654" s="410">
        <v>30</v>
      </c>
      <c r="H654" s="410">
        <v>15</v>
      </c>
      <c r="I654" s="402">
        <v>15</v>
      </c>
      <c r="J654" s="402" t="s">
        <v>1123</v>
      </c>
      <c r="K654" s="402">
        <v>35</v>
      </c>
      <c r="L654" s="402" t="s">
        <v>1124</v>
      </c>
      <c r="M654" s="403" t="s">
        <v>419</v>
      </c>
      <c r="N654" s="402" t="s">
        <v>1112</v>
      </c>
      <c r="O654" s="401"/>
      <c r="P654" s="405" t="s">
        <v>2492</v>
      </c>
      <c r="Q654" s="405" t="s">
        <v>2493</v>
      </c>
      <c r="R654" s="407"/>
      <c r="S654" s="405"/>
      <c r="T654" s="405"/>
      <c r="U654" s="407"/>
      <c r="V654" s="451"/>
      <c r="W654" s="405"/>
      <c r="X654" s="406"/>
      <c r="Y654" s="379"/>
      <c r="Z654" s="379"/>
    </row>
    <row r="655" spans="1:26" ht="61.2">
      <c r="A655" s="452" t="s">
        <v>2449</v>
      </c>
      <c r="B655" s="410" t="s">
        <v>2502</v>
      </c>
      <c r="C655" s="410" t="s">
        <v>2503</v>
      </c>
      <c r="D655" s="415">
        <v>79</v>
      </c>
      <c r="E655" s="410">
        <v>68</v>
      </c>
      <c r="F655" s="410">
        <v>70</v>
      </c>
      <c r="G655" s="410">
        <v>30</v>
      </c>
      <c r="H655" s="410">
        <v>15</v>
      </c>
      <c r="I655" s="410">
        <v>15</v>
      </c>
      <c r="J655" s="402" t="s">
        <v>1123</v>
      </c>
      <c r="K655" s="402">
        <v>35</v>
      </c>
      <c r="L655" s="402" t="s">
        <v>1124</v>
      </c>
      <c r="M655" s="403" t="s">
        <v>419</v>
      </c>
      <c r="N655" s="402" t="s">
        <v>1112</v>
      </c>
      <c r="O655" s="401"/>
      <c r="P655" s="405" t="s">
        <v>2487</v>
      </c>
      <c r="Q655" s="405"/>
      <c r="R655" s="407"/>
      <c r="S655" s="405"/>
      <c r="T655" s="405"/>
      <c r="U655" s="407"/>
      <c r="V655" s="451"/>
      <c r="W655" s="405"/>
      <c r="X655" s="406"/>
      <c r="Y655" s="379"/>
      <c r="Z655" s="379"/>
    </row>
    <row r="656" spans="1:26" ht="102">
      <c r="A656" s="452" t="s">
        <v>2449</v>
      </c>
      <c r="B656" s="410" t="s">
        <v>2504</v>
      </c>
      <c r="C656" s="410" t="s">
        <v>2505</v>
      </c>
      <c r="D656" s="415">
        <v>84</v>
      </c>
      <c r="E656" s="410">
        <v>61</v>
      </c>
      <c r="F656" s="410">
        <v>70</v>
      </c>
      <c r="G656" s="410">
        <v>45</v>
      </c>
      <c r="H656" s="410">
        <v>15</v>
      </c>
      <c r="I656" s="410">
        <v>15</v>
      </c>
      <c r="J656" s="402" t="s">
        <v>1123</v>
      </c>
      <c r="K656" s="402">
        <v>35</v>
      </c>
      <c r="L656" s="402" t="s">
        <v>1124</v>
      </c>
      <c r="M656" s="403" t="s">
        <v>419</v>
      </c>
      <c r="N656" s="402" t="s">
        <v>1112</v>
      </c>
      <c r="O656" s="401"/>
      <c r="P656" s="405" t="s">
        <v>2506</v>
      </c>
      <c r="Q656" s="405" t="s">
        <v>2507</v>
      </c>
      <c r="R656" s="407"/>
      <c r="S656" s="405"/>
      <c r="T656" s="405"/>
      <c r="U656" s="407"/>
      <c r="V656" s="451"/>
      <c r="W656" s="405"/>
      <c r="X656" s="406"/>
      <c r="Y656" s="379"/>
      <c r="Z656" s="379"/>
    </row>
    <row r="657" spans="1:26" ht="102">
      <c r="A657" s="452" t="s">
        <v>2449</v>
      </c>
      <c r="B657" s="410" t="s">
        <v>2508</v>
      </c>
      <c r="C657" s="410" t="s">
        <v>2509</v>
      </c>
      <c r="D657" s="415">
        <v>72</v>
      </c>
      <c r="E657" s="410">
        <v>72</v>
      </c>
      <c r="F657" s="410">
        <v>55</v>
      </c>
      <c r="G657" s="410">
        <v>45</v>
      </c>
      <c r="H657" s="410">
        <v>15</v>
      </c>
      <c r="I657" s="410">
        <v>15</v>
      </c>
      <c r="J657" s="410" t="s">
        <v>1110</v>
      </c>
      <c r="K657" s="402">
        <v>35</v>
      </c>
      <c r="L657" s="402" t="s">
        <v>1339</v>
      </c>
      <c r="M657" s="403" t="s">
        <v>419</v>
      </c>
      <c r="N657" s="402" t="s">
        <v>1112</v>
      </c>
      <c r="O657" s="401"/>
      <c r="P657" s="405" t="s">
        <v>2510</v>
      </c>
      <c r="Q657" s="405" t="s">
        <v>2507</v>
      </c>
      <c r="R657" s="407"/>
      <c r="S657" s="405"/>
      <c r="T657" s="405"/>
      <c r="U657" s="407"/>
      <c r="V657" s="451"/>
      <c r="W657" s="405"/>
      <c r="X657" s="406"/>
      <c r="Y657" s="379"/>
      <c r="Z657" s="379"/>
    </row>
    <row r="658" spans="1:26" ht="102">
      <c r="A658" s="452" t="s">
        <v>2449</v>
      </c>
      <c r="B658" s="410" t="s">
        <v>2511</v>
      </c>
      <c r="C658" s="410" t="s">
        <v>2512</v>
      </c>
      <c r="D658" s="415">
        <v>72</v>
      </c>
      <c r="E658" s="410">
        <v>72</v>
      </c>
      <c r="F658" s="410">
        <v>55</v>
      </c>
      <c r="G658" s="410">
        <v>45</v>
      </c>
      <c r="H658" s="410">
        <v>15</v>
      </c>
      <c r="I658" s="410">
        <v>15</v>
      </c>
      <c r="J658" s="410" t="s">
        <v>1110</v>
      </c>
      <c r="K658" s="410">
        <v>35</v>
      </c>
      <c r="L658" s="410" t="s">
        <v>1339</v>
      </c>
      <c r="M658" s="415" t="s">
        <v>419</v>
      </c>
      <c r="N658" s="410" t="s">
        <v>1112</v>
      </c>
      <c r="O658" s="456"/>
      <c r="P658" s="457" t="s">
        <v>2510</v>
      </c>
      <c r="Q658" s="405" t="s">
        <v>2507</v>
      </c>
      <c r="R658" s="407"/>
      <c r="S658" s="405"/>
      <c r="T658" s="405"/>
      <c r="U658" s="407"/>
      <c r="V658" s="451"/>
      <c r="W658" s="405"/>
      <c r="X658" s="406"/>
      <c r="Y658" s="379"/>
      <c r="Z658" s="379"/>
    </row>
    <row r="659" spans="1:26" ht="30.6">
      <c r="A659" s="452" t="s">
        <v>2449</v>
      </c>
      <c r="B659" s="410" t="s">
        <v>2513</v>
      </c>
      <c r="C659" s="410" t="s">
        <v>2514</v>
      </c>
      <c r="D659" s="415">
        <v>72</v>
      </c>
      <c r="E659" s="410">
        <v>72</v>
      </c>
      <c r="F659" s="410">
        <v>55</v>
      </c>
      <c r="G659" s="410">
        <v>40</v>
      </c>
      <c r="H659" s="410">
        <v>15</v>
      </c>
      <c r="I659" s="410">
        <v>15</v>
      </c>
      <c r="J659" s="402" t="s">
        <v>1110</v>
      </c>
      <c r="K659" s="402">
        <v>40</v>
      </c>
      <c r="L659" s="402" t="s">
        <v>1124</v>
      </c>
      <c r="M659" s="403" t="s">
        <v>419</v>
      </c>
      <c r="N659" s="402" t="s">
        <v>1112</v>
      </c>
      <c r="O659" s="401"/>
      <c r="P659" s="405" t="s">
        <v>2515</v>
      </c>
      <c r="Q659" s="405"/>
      <c r="R659" s="407"/>
      <c r="S659" s="405"/>
      <c r="T659" s="405"/>
      <c r="U659" s="407"/>
      <c r="V659" s="451"/>
      <c r="W659" s="405"/>
      <c r="X659" s="406"/>
      <c r="Y659" s="379"/>
      <c r="Z659" s="379"/>
    </row>
    <row r="660" spans="1:26" ht="51">
      <c r="A660" s="452" t="s">
        <v>2449</v>
      </c>
      <c r="B660" s="410" t="s">
        <v>2516</v>
      </c>
      <c r="C660" s="410" t="s">
        <v>2517</v>
      </c>
      <c r="D660" s="403">
        <v>72</v>
      </c>
      <c r="E660" s="402">
        <v>72</v>
      </c>
      <c r="F660" s="402">
        <v>55</v>
      </c>
      <c r="G660" s="410">
        <v>40</v>
      </c>
      <c r="H660" s="410">
        <v>20</v>
      </c>
      <c r="I660" s="410">
        <v>20</v>
      </c>
      <c r="J660" s="402" t="s">
        <v>1110</v>
      </c>
      <c r="K660" s="402">
        <v>40</v>
      </c>
      <c r="L660" s="402" t="s">
        <v>1124</v>
      </c>
      <c r="M660" s="403" t="s">
        <v>419</v>
      </c>
      <c r="N660" s="402" t="s">
        <v>1112</v>
      </c>
      <c r="O660" s="401"/>
      <c r="P660" s="405" t="s">
        <v>2518</v>
      </c>
      <c r="Q660" s="405"/>
      <c r="R660" s="407"/>
      <c r="S660" s="405"/>
      <c r="T660" s="405"/>
      <c r="U660" s="407"/>
      <c r="V660" s="451"/>
      <c r="W660" s="405"/>
      <c r="X660" s="406"/>
      <c r="Y660" s="379"/>
      <c r="Z660" s="379"/>
    </row>
    <row r="661" spans="1:26" ht="51">
      <c r="A661" s="452" t="s">
        <v>2449</v>
      </c>
      <c r="B661" s="410" t="s">
        <v>2519</v>
      </c>
      <c r="C661" s="410" t="s">
        <v>2520</v>
      </c>
      <c r="D661" s="403">
        <v>77</v>
      </c>
      <c r="E661" s="402">
        <v>77</v>
      </c>
      <c r="F661" s="402">
        <v>55</v>
      </c>
      <c r="G661" s="402">
        <v>40</v>
      </c>
      <c r="H661" s="402">
        <v>15</v>
      </c>
      <c r="I661" s="402">
        <v>15</v>
      </c>
      <c r="J661" s="402" t="s">
        <v>1110</v>
      </c>
      <c r="K661" s="402">
        <v>40</v>
      </c>
      <c r="L661" s="402" t="s">
        <v>1124</v>
      </c>
      <c r="M661" s="403" t="s">
        <v>419</v>
      </c>
      <c r="N661" s="402" t="s">
        <v>1112</v>
      </c>
      <c r="O661" s="401"/>
      <c r="P661" s="405" t="s">
        <v>2518</v>
      </c>
      <c r="Q661" s="405"/>
      <c r="R661" s="407"/>
      <c r="S661" s="405"/>
      <c r="T661" s="405"/>
      <c r="U661" s="407"/>
      <c r="V661" s="451"/>
      <c r="W661" s="405"/>
      <c r="X661" s="406"/>
      <c r="Y661" s="379"/>
      <c r="Z661" s="379"/>
    </row>
    <row r="662" spans="1:26" ht="51">
      <c r="A662" s="452" t="s">
        <v>2449</v>
      </c>
      <c r="B662" s="410" t="s">
        <v>2521</v>
      </c>
      <c r="C662" s="410" t="s">
        <v>2522</v>
      </c>
      <c r="D662" s="403">
        <v>77</v>
      </c>
      <c r="E662" s="402">
        <v>70</v>
      </c>
      <c r="F662" s="402">
        <v>55</v>
      </c>
      <c r="G662" s="402">
        <v>40</v>
      </c>
      <c r="H662" s="402">
        <v>6</v>
      </c>
      <c r="I662" s="402">
        <v>6</v>
      </c>
      <c r="J662" s="402" t="s">
        <v>1123</v>
      </c>
      <c r="K662" s="402">
        <v>40</v>
      </c>
      <c r="L662" s="402" t="s">
        <v>1145</v>
      </c>
      <c r="M662" s="403" t="s">
        <v>419</v>
      </c>
      <c r="N662" s="402" t="s">
        <v>1112</v>
      </c>
      <c r="O662" s="401"/>
      <c r="P662" s="405" t="s">
        <v>2518</v>
      </c>
      <c r="Q662" s="405"/>
      <c r="R662" s="407"/>
      <c r="S662" s="405"/>
      <c r="T662" s="405"/>
      <c r="U662" s="407"/>
      <c r="V662" s="451"/>
      <c r="W662" s="405"/>
      <c r="X662" s="406"/>
      <c r="Y662" s="379"/>
      <c r="Z662" s="379"/>
    </row>
    <row r="663" spans="1:26" ht="51">
      <c r="A663" s="452" t="s">
        <v>2449</v>
      </c>
      <c r="B663" s="410" t="s">
        <v>2523</v>
      </c>
      <c r="C663" s="410" t="s">
        <v>2524</v>
      </c>
      <c r="D663" s="403">
        <v>77</v>
      </c>
      <c r="E663" s="402">
        <v>77</v>
      </c>
      <c r="F663" s="402">
        <v>55</v>
      </c>
      <c r="G663" s="402">
        <v>40</v>
      </c>
      <c r="H663" s="402">
        <v>15</v>
      </c>
      <c r="I663" s="402">
        <v>15</v>
      </c>
      <c r="J663" s="402" t="s">
        <v>1110</v>
      </c>
      <c r="K663" s="402">
        <v>40</v>
      </c>
      <c r="L663" s="402" t="s">
        <v>1124</v>
      </c>
      <c r="M663" s="403" t="s">
        <v>419</v>
      </c>
      <c r="N663" s="402" t="s">
        <v>1112</v>
      </c>
      <c r="O663" s="401"/>
      <c r="P663" s="405" t="s">
        <v>2518</v>
      </c>
      <c r="Q663" s="405"/>
      <c r="R663" s="407"/>
      <c r="S663" s="405"/>
      <c r="T663" s="405"/>
      <c r="U663" s="407"/>
      <c r="V663" s="451"/>
      <c r="W663" s="405"/>
      <c r="X663" s="406"/>
      <c r="Y663" s="379"/>
      <c r="Z663" s="379"/>
    </row>
    <row r="664" spans="1:26" ht="30.6">
      <c r="A664" s="452" t="s">
        <v>2449</v>
      </c>
      <c r="B664" s="410" t="s">
        <v>2525</v>
      </c>
      <c r="C664" s="410" t="s">
        <v>2526</v>
      </c>
      <c r="D664" s="403">
        <v>77</v>
      </c>
      <c r="E664" s="402">
        <v>70</v>
      </c>
      <c r="F664" s="402">
        <v>55</v>
      </c>
      <c r="G664" s="402">
        <v>40</v>
      </c>
      <c r="H664" s="402">
        <v>6</v>
      </c>
      <c r="I664" s="402">
        <v>6</v>
      </c>
      <c r="J664" s="402" t="s">
        <v>1123</v>
      </c>
      <c r="K664" s="402">
        <v>40</v>
      </c>
      <c r="L664" s="402" t="s">
        <v>1145</v>
      </c>
      <c r="M664" s="403" t="s">
        <v>419</v>
      </c>
      <c r="N664" s="402" t="s">
        <v>1112</v>
      </c>
      <c r="O664" s="401"/>
      <c r="P664" s="405" t="s">
        <v>2527</v>
      </c>
      <c r="Q664" s="405"/>
      <c r="R664" s="407"/>
      <c r="S664" s="405"/>
      <c r="T664" s="405"/>
      <c r="U664" s="407"/>
      <c r="V664" s="451"/>
      <c r="W664" s="405"/>
      <c r="X664" s="406"/>
      <c r="Y664" s="379"/>
      <c r="Z664" s="379"/>
    </row>
    <row r="665" spans="1:26" ht="30.6">
      <c r="A665" s="452" t="s">
        <v>2449</v>
      </c>
      <c r="B665" s="410" t="s">
        <v>2528</v>
      </c>
      <c r="C665" s="410" t="s">
        <v>2529</v>
      </c>
      <c r="D665" s="403" t="s">
        <v>404</v>
      </c>
      <c r="E665" s="402" t="s">
        <v>404</v>
      </c>
      <c r="F665" s="402" t="s">
        <v>404</v>
      </c>
      <c r="G665" s="402" t="s">
        <v>404</v>
      </c>
      <c r="H665" s="402">
        <v>4</v>
      </c>
      <c r="I665" s="402">
        <v>4</v>
      </c>
      <c r="J665" s="402" t="s">
        <v>1123</v>
      </c>
      <c r="K665" s="402">
        <v>40</v>
      </c>
      <c r="L665" s="402" t="s">
        <v>1138</v>
      </c>
      <c r="M665" s="403" t="s">
        <v>420</v>
      </c>
      <c r="N665" s="402" t="s">
        <v>1112</v>
      </c>
      <c r="O665" s="401"/>
      <c r="P665" s="405" t="s">
        <v>1180</v>
      </c>
      <c r="Q665" s="405"/>
      <c r="R665" s="407"/>
      <c r="S665" s="405"/>
      <c r="T665" s="405"/>
      <c r="U665" s="407"/>
      <c r="V665" s="451"/>
      <c r="W665" s="405"/>
      <c r="X665" s="406"/>
      <c r="Y665" s="379"/>
      <c r="Z665" s="379"/>
    </row>
    <row r="666" spans="1:26" ht="30.6">
      <c r="A666" s="452" t="s">
        <v>2449</v>
      </c>
      <c r="B666" s="410" t="s">
        <v>2530</v>
      </c>
      <c r="C666" s="410" t="s">
        <v>2531</v>
      </c>
      <c r="D666" s="403" t="s">
        <v>404</v>
      </c>
      <c r="E666" s="402" t="s">
        <v>404</v>
      </c>
      <c r="F666" s="402" t="s">
        <v>404</v>
      </c>
      <c r="G666" s="402" t="s">
        <v>404</v>
      </c>
      <c r="H666" s="402">
        <v>4</v>
      </c>
      <c r="I666" s="402" t="s">
        <v>404</v>
      </c>
      <c r="J666" s="402" t="s">
        <v>1123</v>
      </c>
      <c r="K666" s="402">
        <v>45</v>
      </c>
      <c r="L666" s="402" t="s">
        <v>1339</v>
      </c>
      <c r="M666" s="403" t="s">
        <v>420</v>
      </c>
      <c r="N666" s="402" t="s">
        <v>1112</v>
      </c>
      <c r="O666" s="401"/>
      <c r="P666" s="405" t="s">
        <v>2532</v>
      </c>
      <c r="Q666" s="405"/>
      <c r="R666" s="407"/>
      <c r="S666" s="405"/>
      <c r="T666" s="405"/>
      <c r="U666" s="407"/>
      <c r="V666" s="451"/>
      <c r="W666" s="405"/>
      <c r="X666" s="406"/>
      <c r="Y666" s="379"/>
      <c r="Z666" s="379"/>
    </row>
    <row r="667" spans="1:26" ht="51">
      <c r="A667" s="450" t="s">
        <v>2449</v>
      </c>
      <c r="B667" s="410" t="s">
        <v>2533</v>
      </c>
      <c r="C667" s="410" t="s">
        <v>2534</v>
      </c>
      <c r="D667" s="403">
        <v>72</v>
      </c>
      <c r="E667" s="402">
        <v>72</v>
      </c>
      <c r="F667" s="402">
        <v>55</v>
      </c>
      <c r="G667" s="402">
        <v>45</v>
      </c>
      <c r="H667" s="402">
        <v>10</v>
      </c>
      <c r="I667" s="402">
        <v>10</v>
      </c>
      <c r="J667" s="402" t="s">
        <v>1123</v>
      </c>
      <c r="K667" s="402">
        <v>35</v>
      </c>
      <c r="L667" s="402" t="s">
        <v>1124</v>
      </c>
      <c r="M667" s="403" t="s">
        <v>419</v>
      </c>
      <c r="N667" s="402" t="s">
        <v>1112</v>
      </c>
      <c r="O667" s="401"/>
      <c r="P667" s="405" t="s">
        <v>2535</v>
      </c>
      <c r="Q667" s="405"/>
      <c r="R667" s="407"/>
      <c r="S667" s="405"/>
      <c r="T667" s="405"/>
      <c r="U667" s="407"/>
      <c r="V667" s="451"/>
      <c r="W667" s="405"/>
      <c r="X667" s="406"/>
      <c r="Y667" s="379"/>
      <c r="Z667" s="379"/>
    </row>
    <row r="668" spans="1:26" ht="173.4">
      <c r="A668" s="452" t="s">
        <v>2449</v>
      </c>
      <c r="B668" s="410" t="s">
        <v>2536</v>
      </c>
      <c r="C668" s="410" t="s">
        <v>2537</v>
      </c>
      <c r="D668" s="403">
        <v>78</v>
      </c>
      <c r="E668" s="402">
        <v>70</v>
      </c>
      <c r="F668" s="402">
        <v>60</v>
      </c>
      <c r="G668" s="410">
        <v>30</v>
      </c>
      <c r="H668" s="402">
        <v>6</v>
      </c>
      <c r="I668" s="402" t="s">
        <v>2681</v>
      </c>
      <c r="J668" s="402" t="s">
        <v>2682</v>
      </c>
      <c r="K668" s="402">
        <v>45</v>
      </c>
      <c r="L668" s="402" t="s">
        <v>1124</v>
      </c>
      <c r="M668" s="403" t="s">
        <v>419</v>
      </c>
      <c r="N668" s="402" t="s">
        <v>1112</v>
      </c>
      <c r="O668" s="401"/>
      <c r="P668" s="405" t="s">
        <v>1431</v>
      </c>
      <c r="Q668" s="405"/>
      <c r="R668" s="407"/>
      <c r="S668" s="405"/>
      <c r="T668" s="405"/>
      <c r="U668" s="407"/>
      <c r="V668" s="451"/>
      <c r="W668" s="405"/>
      <c r="X668" s="406"/>
      <c r="Y668" s="379"/>
      <c r="Z668" s="379"/>
    </row>
    <row r="669" spans="1:26" ht="163.19999999999999">
      <c r="A669" s="452" t="s">
        <v>2449</v>
      </c>
      <c r="B669" s="410" t="s">
        <v>2538</v>
      </c>
      <c r="C669" s="410" t="s">
        <v>2539</v>
      </c>
      <c r="D669" s="403" t="s">
        <v>404</v>
      </c>
      <c r="E669" s="402" t="s">
        <v>404</v>
      </c>
      <c r="F669" s="402" t="s">
        <v>404</v>
      </c>
      <c r="G669" s="402" t="s">
        <v>404</v>
      </c>
      <c r="H669" s="402">
        <v>4</v>
      </c>
      <c r="I669" s="402" t="s">
        <v>404</v>
      </c>
      <c r="J669" s="402" t="s">
        <v>1137</v>
      </c>
      <c r="K669" s="402">
        <v>40</v>
      </c>
      <c r="L669" s="402" t="s">
        <v>1145</v>
      </c>
      <c r="M669" s="403" t="s">
        <v>420</v>
      </c>
      <c r="N669" s="402" t="s">
        <v>1112</v>
      </c>
      <c r="O669" s="411"/>
      <c r="P669" s="405" t="s">
        <v>1176</v>
      </c>
      <c r="Q669" s="405"/>
      <c r="R669" s="407"/>
      <c r="S669" s="405"/>
      <c r="T669" s="405"/>
      <c r="U669" s="407"/>
      <c r="V669" s="451"/>
      <c r="W669" s="405"/>
      <c r="X669" s="406"/>
      <c r="Y669" s="379"/>
      <c r="Z669" s="379"/>
    </row>
    <row r="670" spans="1:26" ht="40.799999999999997">
      <c r="A670" s="452" t="s">
        <v>2449</v>
      </c>
      <c r="B670" s="410" t="s">
        <v>2540</v>
      </c>
      <c r="C670" s="410" t="s">
        <v>2541</v>
      </c>
      <c r="D670" s="403" t="s">
        <v>404</v>
      </c>
      <c r="E670" s="402" t="s">
        <v>404</v>
      </c>
      <c r="F670" s="402" t="s">
        <v>404</v>
      </c>
      <c r="G670" s="402" t="s">
        <v>404</v>
      </c>
      <c r="H670" s="402">
        <v>10</v>
      </c>
      <c r="I670" s="402" t="s">
        <v>404</v>
      </c>
      <c r="J670" s="402" t="s">
        <v>1123</v>
      </c>
      <c r="K670" s="402">
        <v>40</v>
      </c>
      <c r="L670" s="402" t="s">
        <v>1134</v>
      </c>
      <c r="M670" s="403" t="s">
        <v>420</v>
      </c>
      <c r="N670" s="402" t="s">
        <v>1112</v>
      </c>
      <c r="O670" s="401"/>
      <c r="P670" s="405" t="s">
        <v>2542</v>
      </c>
      <c r="Q670" s="405"/>
      <c r="R670" s="407"/>
      <c r="S670" s="405"/>
      <c r="T670" s="405"/>
      <c r="U670" s="407"/>
      <c r="V670" s="451"/>
      <c r="W670" s="405"/>
      <c r="X670" s="406"/>
      <c r="Y670" s="379"/>
      <c r="Z670" s="379"/>
    </row>
    <row r="671" spans="1:26" ht="81.75" customHeight="1">
      <c r="A671" s="452" t="s">
        <v>2449</v>
      </c>
      <c r="B671" s="410" t="s">
        <v>2543</v>
      </c>
      <c r="C671" s="423" t="s">
        <v>2544</v>
      </c>
      <c r="D671" s="403" t="s">
        <v>404</v>
      </c>
      <c r="E671" s="402" t="s">
        <v>404</v>
      </c>
      <c r="F671" s="402" t="s">
        <v>404</v>
      </c>
      <c r="G671" s="402" t="s">
        <v>404</v>
      </c>
      <c r="H671" s="402">
        <v>10</v>
      </c>
      <c r="I671" s="402">
        <v>10</v>
      </c>
      <c r="J671" s="402" t="s">
        <v>1110</v>
      </c>
      <c r="K671" s="402">
        <v>40</v>
      </c>
      <c r="L671" s="402" t="s">
        <v>1134</v>
      </c>
      <c r="M671" s="403" t="s">
        <v>420</v>
      </c>
      <c r="N671" s="402" t="s">
        <v>1112</v>
      </c>
      <c r="O671" s="401"/>
      <c r="P671" s="405" t="s">
        <v>2133</v>
      </c>
      <c r="Q671" s="405"/>
      <c r="R671" s="407"/>
      <c r="S671" s="405"/>
      <c r="T671" s="405"/>
      <c r="U671" s="407"/>
      <c r="V671" s="451"/>
      <c r="W671" s="405"/>
      <c r="X671" s="406"/>
      <c r="Y671" s="379"/>
      <c r="Z671" s="379"/>
    </row>
    <row r="672" spans="1:26" ht="40.799999999999997">
      <c r="A672" s="452" t="s">
        <v>2449</v>
      </c>
      <c r="B672" s="410" t="s">
        <v>2545</v>
      </c>
      <c r="C672" s="410" t="s">
        <v>2546</v>
      </c>
      <c r="D672" s="403">
        <v>36</v>
      </c>
      <c r="E672" s="402">
        <v>36</v>
      </c>
      <c r="F672" s="402" t="s">
        <v>404</v>
      </c>
      <c r="G672" s="402" t="s">
        <v>404</v>
      </c>
      <c r="H672" s="402" t="s">
        <v>404</v>
      </c>
      <c r="I672" s="402" t="s">
        <v>404</v>
      </c>
      <c r="J672" s="402" t="s">
        <v>1123</v>
      </c>
      <c r="K672" s="402">
        <v>40</v>
      </c>
      <c r="L672" s="402" t="s">
        <v>1124</v>
      </c>
      <c r="M672" s="403" t="s">
        <v>419</v>
      </c>
      <c r="N672" s="402" t="s">
        <v>1112</v>
      </c>
      <c r="O672" s="401"/>
      <c r="P672" s="405" t="s">
        <v>2547</v>
      </c>
      <c r="Q672" s="405"/>
      <c r="R672" s="407"/>
      <c r="S672" s="405"/>
      <c r="T672" s="405"/>
      <c r="U672" s="407"/>
      <c r="V672" s="451"/>
      <c r="W672" s="405"/>
      <c r="X672" s="406"/>
      <c r="Y672" s="379"/>
      <c r="Z672" s="379"/>
    </row>
    <row r="673" spans="1:26" ht="30.6">
      <c r="A673" s="450" t="s">
        <v>2449</v>
      </c>
      <c r="B673" s="410" t="s">
        <v>1201</v>
      </c>
      <c r="C673" s="410" t="s">
        <v>2548</v>
      </c>
      <c r="D673" s="403">
        <v>75</v>
      </c>
      <c r="E673" s="402">
        <v>70</v>
      </c>
      <c r="F673" s="402">
        <v>60</v>
      </c>
      <c r="G673" s="410">
        <v>30</v>
      </c>
      <c r="H673" s="402">
        <v>4</v>
      </c>
      <c r="I673" s="402">
        <v>2</v>
      </c>
      <c r="J673" s="402" t="s">
        <v>1137</v>
      </c>
      <c r="K673" s="402">
        <v>40</v>
      </c>
      <c r="L673" s="402" t="s">
        <v>1138</v>
      </c>
      <c r="M673" s="403" t="s">
        <v>419</v>
      </c>
      <c r="N673" s="402" t="s">
        <v>1139</v>
      </c>
      <c r="O673" s="411"/>
      <c r="P673" s="405" t="s">
        <v>1203</v>
      </c>
      <c r="Q673" s="405"/>
      <c r="R673" s="407"/>
      <c r="S673" s="405"/>
      <c r="T673" s="405"/>
      <c r="U673" s="407"/>
      <c r="V673" s="451"/>
      <c r="W673" s="405"/>
      <c r="X673" s="406"/>
      <c r="Y673" s="379"/>
      <c r="Z673" s="379"/>
    </row>
    <row r="674" spans="1:26" ht="30.6">
      <c r="A674" s="452" t="s">
        <v>2449</v>
      </c>
      <c r="B674" s="410" t="s">
        <v>2549</v>
      </c>
      <c r="C674" s="410" t="s">
        <v>2550</v>
      </c>
      <c r="D674" s="403">
        <v>75</v>
      </c>
      <c r="E674" s="402">
        <v>70</v>
      </c>
      <c r="F674" s="402">
        <v>60</v>
      </c>
      <c r="G674" s="410">
        <v>30</v>
      </c>
      <c r="H674" s="402">
        <v>4</v>
      </c>
      <c r="I674" s="402">
        <v>2</v>
      </c>
      <c r="J674" s="402" t="s">
        <v>1137</v>
      </c>
      <c r="K674" s="402">
        <v>40</v>
      </c>
      <c r="L674" s="402" t="s">
        <v>1138</v>
      </c>
      <c r="M674" s="403" t="s">
        <v>419</v>
      </c>
      <c r="N674" s="402" t="s">
        <v>1139</v>
      </c>
      <c r="O674" s="411"/>
      <c r="P674" s="405" t="s">
        <v>1203</v>
      </c>
      <c r="Q674" s="405"/>
      <c r="R674" s="407"/>
      <c r="S674" s="405"/>
      <c r="T674" s="405"/>
      <c r="U674" s="407"/>
      <c r="V674" s="451"/>
      <c r="W674" s="405"/>
      <c r="X674" s="406"/>
      <c r="Y674" s="379"/>
      <c r="Z674" s="379"/>
    </row>
    <row r="675" spans="1:26" ht="20.399999999999999">
      <c r="A675" s="450" t="s">
        <v>2449</v>
      </c>
      <c r="B675" s="410" t="s">
        <v>1208</v>
      </c>
      <c r="C675" s="402" t="s">
        <v>2551</v>
      </c>
      <c r="D675" s="403">
        <v>75</v>
      </c>
      <c r="E675" s="402">
        <v>70</v>
      </c>
      <c r="F675" s="402">
        <v>60</v>
      </c>
      <c r="G675" s="410">
        <v>30</v>
      </c>
      <c r="H675" s="402">
        <v>4</v>
      </c>
      <c r="I675" s="402">
        <v>2</v>
      </c>
      <c r="J675" s="402" t="s">
        <v>1137</v>
      </c>
      <c r="K675" s="402">
        <v>40</v>
      </c>
      <c r="L675" s="402" t="s">
        <v>1138</v>
      </c>
      <c r="M675" s="403" t="s">
        <v>419</v>
      </c>
      <c r="N675" s="402" t="s">
        <v>1139</v>
      </c>
      <c r="O675" s="411"/>
      <c r="P675" s="405"/>
      <c r="Q675" s="405"/>
      <c r="R675" s="407"/>
      <c r="S675" s="405"/>
      <c r="T675" s="405"/>
      <c r="U675" s="407"/>
      <c r="V675" s="451"/>
      <c r="W675" s="405"/>
      <c r="X675" s="406"/>
      <c r="Y675" s="379"/>
      <c r="Z675" s="379"/>
    </row>
    <row r="676" spans="1:26" ht="51">
      <c r="A676" s="450" t="s">
        <v>2449</v>
      </c>
      <c r="B676" s="410" t="s">
        <v>1212</v>
      </c>
      <c r="C676" s="402" t="s">
        <v>2552</v>
      </c>
      <c r="D676" s="403">
        <v>75</v>
      </c>
      <c r="E676" s="402">
        <v>70</v>
      </c>
      <c r="F676" s="402">
        <v>60</v>
      </c>
      <c r="G676" s="410">
        <v>30</v>
      </c>
      <c r="H676" s="402">
        <v>10</v>
      </c>
      <c r="I676" s="402" t="s">
        <v>404</v>
      </c>
      <c r="J676" s="402" t="s">
        <v>1123</v>
      </c>
      <c r="K676" s="402">
        <v>40</v>
      </c>
      <c r="L676" s="402" t="s">
        <v>1124</v>
      </c>
      <c r="M676" s="403" t="s">
        <v>419</v>
      </c>
      <c r="N676" s="402" t="s">
        <v>1112</v>
      </c>
      <c r="O676" s="411"/>
      <c r="P676" s="405" t="s">
        <v>1125</v>
      </c>
      <c r="Q676" s="405"/>
      <c r="R676" s="407"/>
      <c r="S676" s="405"/>
      <c r="T676" s="405"/>
      <c r="U676" s="407"/>
      <c r="V676" s="451"/>
      <c r="W676" s="405"/>
      <c r="X676" s="406"/>
      <c r="Y676" s="379"/>
      <c r="Z676" s="379"/>
    </row>
    <row r="677" spans="1:26" ht="51">
      <c r="A677" s="450" t="s">
        <v>2449</v>
      </c>
      <c r="B677" s="410" t="s">
        <v>1214</v>
      </c>
      <c r="C677" s="402" t="s">
        <v>2553</v>
      </c>
      <c r="D677" s="403">
        <v>75</v>
      </c>
      <c r="E677" s="402">
        <v>70</v>
      </c>
      <c r="F677" s="402">
        <v>60</v>
      </c>
      <c r="G677" s="410">
        <v>30</v>
      </c>
      <c r="H677" s="402">
        <v>10</v>
      </c>
      <c r="I677" s="402" t="s">
        <v>404</v>
      </c>
      <c r="J677" s="402" t="s">
        <v>1123</v>
      </c>
      <c r="K677" s="402">
        <v>40</v>
      </c>
      <c r="L677" s="402" t="s">
        <v>1124</v>
      </c>
      <c r="M677" s="403" t="s">
        <v>419</v>
      </c>
      <c r="N677" s="402" t="s">
        <v>1112</v>
      </c>
      <c r="O677" s="411"/>
      <c r="P677" s="405" t="s">
        <v>1125</v>
      </c>
      <c r="Q677" s="405"/>
      <c r="R677" s="407"/>
      <c r="S677" s="405"/>
      <c r="T677" s="405"/>
      <c r="U677" s="407"/>
      <c r="V677" s="451"/>
      <c r="W677" s="405"/>
      <c r="X677" s="406"/>
      <c r="Y677" s="379"/>
      <c r="Z677" s="379"/>
    </row>
    <row r="678" spans="1:26" ht="61.2">
      <c r="A678" s="450" t="s">
        <v>2449</v>
      </c>
      <c r="B678" s="410" t="s">
        <v>1216</v>
      </c>
      <c r="C678" s="402" t="s">
        <v>2554</v>
      </c>
      <c r="D678" s="403">
        <v>75</v>
      </c>
      <c r="E678" s="402">
        <v>70</v>
      </c>
      <c r="F678" s="402">
        <v>60</v>
      </c>
      <c r="G678" s="410">
        <v>30</v>
      </c>
      <c r="H678" s="402">
        <v>4</v>
      </c>
      <c r="I678" s="402">
        <v>2</v>
      </c>
      <c r="J678" s="402" t="s">
        <v>1123</v>
      </c>
      <c r="K678" s="402">
        <v>40</v>
      </c>
      <c r="L678" s="402" t="s">
        <v>1124</v>
      </c>
      <c r="M678" s="403" t="s">
        <v>419</v>
      </c>
      <c r="N678" s="402" t="s">
        <v>1112</v>
      </c>
      <c r="O678" s="411"/>
      <c r="P678" s="405" t="s">
        <v>2555</v>
      </c>
      <c r="Q678" s="405"/>
      <c r="R678" s="407"/>
      <c r="S678" s="405"/>
      <c r="T678" s="405"/>
      <c r="U678" s="407"/>
      <c r="V678" s="451"/>
      <c r="W678" s="405"/>
      <c r="X678" s="406"/>
      <c r="Y678" s="379"/>
      <c r="Z678" s="379"/>
    </row>
    <row r="679" spans="1:26" ht="61.2">
      <c r="A679" s="450" t="s">
        <v>2449</v>
      </c>
      <c r="B679" s="410" t="s">
        <v>1219</v>
      </c>
      <c r="C679" s="410" t="s">
        <v>2556</v>
      </c>
      <c r="D679" s="403" t="s">
        <v>404</v>
      </c>
      <c r="E679" s="402" t="s">
        <v>404</v>
      </c>
      <c r="F679" s="402" t="s">
        <v>404</v>
      </c>
      <c r="G679" s="410" t="s">
        <v>404</v>
      </c>
      <c r="H679" s="402">
        <v>6</v>
      </c>
      <c r="I679" s="402" t="s">
        <v>404</v>
      </c>
      <c r="J679" s="402" t="s">
        <v>1123</v>
      </c>
      <c r="K679" s="402">
        <v>40</v>
      </c>
      <c r="L679" s="402" t="s">
        <v>1124</v>
      </c>
      <c r="M679" s="403" t="s">
        <v>420</v>
      </c>
      <c r="N679" s="402" t="s">
        <v>1112</v>
      </c>
      <c r="O679" s="411"/>
      <c r="P679" s="405" t="s">
        <v>2557</v>
      </c>
      <c r="Q679" s="405" t="s">
        <v>2558</v>
      </c>
      <c r="R679" s="407"/>
      <c r="S679" s="405"/>
      <c r="T679" s="405"/>
      <c r="U679" s="407"/>
      <c r="V679" s="451"/>
      <c r="W679" s="405"/>
      <c r="X679" s="406"/>
      <c r="Y679" s="379"/>
      <c r="Z679" s="379"/>
    </row>
    <row r="680" spans="1:26" ht="81.599999999999994">
      <c r="A680" s="450" t="s">
        <v>2449</v>
      </c>
      <c r="B680" s="410" t="s">
        <v>1222</v>
      </c>
      <c r="C680" s="402" t="s">
        <v>2559</v>
      </c>
      <c r="D680" s="403">
        <v>75</v>
      </c>
      <c r="E680" s="402">
        <v>70</v>
      </c>
      <c r="F680" s="402">
        <v>60</v>
      </c>
      <c r="G680" s="410">
        <v>30</v>
      </c>
      <c r="H680" s="402">
        <v>4</v>
      </c>
      <c r="I680" s="402">
        <v>2</v>
      </c>
      <c r="J680" s="402" t="s">
        <v>1137</v>
      </c>
      <c r="K680" s="402">
        <v>35</v>
      </c>
      <c r="L680" s="402" t="s">
        <v>1138</v>
      </c>
      <c r="M680" s="403" t="s">
        <v>419</v>
      </c>
      <c r="N680" s="402" t="s">
        <v>1139</v>
      </c>
      <c r="O680" s="411"/>
      <c r="P680" s="405" t="s">
        <v>2560</v>
      </c>
      <c r="Q680" s="405"/>
      <c r="R680" s="407"/>
      <c r="S680" s="405"/>
      <c r="T680" s="405"/>
      <c r="U680" s="407"/>
      <c r="V680" s="451"/>
      <c r="W680" s="405"/>
      <c r="X680" s="406"/>
      <c r="Y680" s="379"/>
      <c r="Z680" s="379"/>
    </row>
    <row r="681" spans="1:26">
      <c r="A681" s="400" t="s">
        <v>2561</v>
      </c>
      <c r="B681" s="401" t="s">
        <v>1414</v>
      </c>
      <c r="C681" s="402" t="s">
        <v>2562</v>
      </c>
      <c r="D681" s="403">
        <v>75</v>
      </c>
      <c r="E681" s="402">
        <v>70</v>
      </c>
      <c r="F681" s="402">
        <v>60</v>
      </c>
      <c r="G681" s="402">
        <v>30</v>
      </c>
      <c r="H681" s="402">
        <v>6</v>
      </c>
      <c r="I681" s="402">
        <v>2</v>
      </c>
      <c r="J681" s="402" t="s">
        <v>1137</v>
      </c>
      <c r="K681" s="402">
        <v>40</v>
      </c>
      <c r="L681" s="418" t="s">
        <v>1221</v>
      </c>
      <c r="M681" s="403" t="s">
        <v>419</v>
      </c>
      <c r="N681" s="402" t="s">
        <v>1112</v>
      </c>
      <c r="O681" s="411"/>
      <c r="P681" s="408"/>
      <c r="Q681" s="405"/>
      <c r="R681" s="407"/>
      <c r="S681" s="405"/>
      <c r="T681" s="405"/>
      <c r="U681" s="407"/>
      <c r="V681" s="408"/>
      <c r="W681" s="405"/>
      <c r="X681" s="406"/>
      <c r="Y681" s="379"/>
      <c r="Z681" s="379"/>
    </row>
    <row r="682" spans="1:26" ht="61.2">
      <c r="A682" s="400" t="s">
        <v>2561</v>
      </c>
      <c r="B682" s="401" t="s">
        <v>1414</v>
      </c>
      <c r="C682" s="402" t="s">
        <v>2563</v>
      </c>
      <c r="D682" s="403">
        <v>75</v>
      </c>
      <c r="E682" s="402">
        <v>70</v>
      </c>
      <c r="F682" s="402">
        <v>60</v>
      </c>
      <c r="G682" s="402">
        <v>30</v>
      </c>
      <c r="H682" s="402">
        <v>4</v>
      </c>
      <c r="I682" s="402">
        <v>2</v>
      </c>
      <c r="J682" s="402" t="s">
        <v>1137</v>
      </c>
      <c r="K682" s="402">
        <v>40</v>
      </c>
      <c r="L682" s="402" t="s">
        <v>1124</v>
      </c>
      <c r="M682" s="403" t="s">
        <v>419</v>
      </c>
      <c r="N682" s="402" t="s">
        <v>1139</v>
      </c>
      <c r="O682" s="411"/>
      <c r="P682" s="405" t="s">
        <v>2564</v>
      </c>
      <c r="Q682" s="405"/>
      <c r="R682" s="407"/>
      <c r="S682" s="405"/>
      <c r="T682" s="405"/>
      <c r="U682" s="407"/>
      <c r="V682" s="408"/>
      <c r="W682" s="405"/>
      <c r="X682" s="406"/>
      <c r="Y682" s="379"/>
      <c r="Z682" s="379"/>
    </row>
    <row r="683" spans="1:26" ht="61.2">
      <c r="A683" s="400" t="s">
        <v>2561</v>
      </c>
      <c r="B683" s="401" t="s">
        <v>1414</v>
      </c>
      <c r="C683" s="402" t="s">
        <v>2565</v>
      </c>
      <c r="D683" s="403">
        <v>75</v>
      </c>
      <c r="E683" s="402">
        <v>70</v>
      </c>
      <c r="F683" s="402">
        <v>60</v>
      </c>
      <c r="G683" s="402">
        <v>30</v>
      </c>
      <c r="H683" s="402">
        <v>4</v>
      </c>
      <c r="I683" s="402">
        <v>2</v>
      </c>
      <c r="J683" s="402" t="s">
        <v>1137</v>
      </c>
      <c r="K683" s="402">
        <v>35</v>
      </c>
      <c r="L683" s="402" t="s">
        <v>1138</v>
      </c>
      <c r="M683" s="403" t="s">
        <v>419</v>
      </c>
      <c r="N683" s="402" t="s">
        <v>1139</v>
      </c>
      <c r="O683" s="411"/>
      <c r="P683" s="405" t="s">
        <v>2566</v>
      </c>
      <c r="Q683" s="405"/>
      <c r="R683" s="407"/>
      <c r="S683" s="405"/>
      <c r="T683" s="405"/>
      <c r="U683" s="407"/>
      <c r="V683" s="408"/>
      <c r="W683" s="405"/>
      <c r="X683" s="406"/>
      <c r="Y683" s="379"/>
      <c r="Z683" s="379"/>
    </row>
    <row r="684" spans="1:26" ht="91.8">
      <c r="A684" s="400" t="s">
        <v>2561</v>
      </c>
      <c r="B684" s="401" t="s">
        <v>1414</v>
      </c>
      <c r="C684" s="402" t="s">
        <v>2567</v>
      </c>
      <c r="D684" s="403">
        <v>75</v>
      </c>
      <c r="E684" s="402">
        <v>70</v>
      </c>
      <c r="F684" s="402">
        <v>60</v>
      </c>
      <c r="G684" s="402">
        <v>30</v>
      </c>
      <c r="H684" s="402">
        <v>6</v>
      </c>
      <c r="I684" s="402">
        <v>2</v>
      </c>
      <c r="J684" s="402" t="s">
        <v>1137</v>
      </c>
      <c r="K684" s="402">
        <v>35</v>
      </c>
      <c r="L684" s="402" t="s">
        <v>1138</v>
      </c>
      <c r="M684" s="403" t="s">
        <v>419</v>
      </c>
      <c r="N684" s="402" t="s">
        <v>1139</v>
      </c>
      <c r="O684" s="411"/>
      <c r="P684" s="405" t="s">
        <v>2568</v>
      </c>
      <c r="Q684" s="405"/>
      <c r="R684" s="407"/>
      <c r="S684" s="405"/>
      <c r="T684" s="405"/>
      <c r="U684" s="407"/>
      <c r="V684" s="408"/>
      <c r="W684" s="405"/>
      <c r="X684" s="406"/>
      <c r="Y684" s="379"/>
      <c r="Z684" s="379"/>
    </row>
    <row r="685" spans="1:26" ht="91.8">
      <c r="A685" s="400" t="s">
        <v>2561</v>
      </c>
      <c r="B685" s="401" t="s">
        <v>1414</v>
      </c>
      <c r="C685" s="402" t="s">
        <v>1386</v>
      </c>
      <c r="D685" s="403">
        <v>75</v>
      </c>
      <c r="E685" s="402">
        <v>70</v>
      </c>
      <c r="F685" s="402">
        <v>60</v>
      </c>
      <c r="G685" s="402">
        <v>30</v>
      </c>
      <c r="H685" s="402">
        <v>4</v>
      </c>
      <c r="I685" s="402">
        <v>2</v>
      </c>
      <c r="J685" s="402" t="s">
        <v>1137</v>
      </c>
      <c r="K685" s="402">
        <v>35</v>
      </c>
      <c r="L685" s="402" t="s">
        <v>1138</v>
      </c>
      <c r="M685" s="403" t="s">
        <v>419</v>
      </c>
      <c r="N685" s="402" t="s">
        <v>1139</v>
      </c>
      <c r="O685" s="411"/>
      <c r="P685" s="405" t="s">
        <v>2569</v>
      </c>
      <c r="Q685" s="405"/>
      <c r="R685" s="407"/>
      <c r="S685" s="405"/>
      <c r="T685" s="405"/>
      <c r="U685" s="407"/>
      <c r="V685" s="408"/>
      <c r="W685" s="405"/>
      <c r="X685" s="406"/>
      <c r="Y685" s="379"/>
      <c r="Z685" s="379"/>
    </row>
    <row r="686" spans="1:26" ht="81.599999999999994">
      <c r="A686" s="400" t="s">
        <v>2561</v>
      </c>
      <c r="B686" s="401" t="s">
        <v>1414</v>
      </c>
      <c r="C686" s="402" t="s">
        <v>2570</v>
      </c>
      <c r="D686" s="403">
        <v>75</v>
      </c>
      <c r="E686" s="402">
        <v>70</v>
      </c>
      <c r="F686" s="402">
        <v>60</v>
      </c>
      <c r="G686" s="402">
        <v>30</v>
      </c>
      <c r="H686" s="402">
        <v>4</v>
      </c>
      <c r="I686" s="402">
        <v>2</v>
      </c>
      <c r="J686" s="402" t="s">
        <v>1137</v>
      </c>
      <c r="K686" s="402">
        <v>40</v>
      </c>
      <c r="L686" s="402" t="s">
        <v>1145</v>
      </c>
      <c r="M686" s="403" t="s">
        <v>419</v>
      </c>
      <c r="N686" s="402" t="s">
        <v>1112</v>
      </c>
      <c r="O686" s="411"/>
      <c r="P686" s="405" t="s">
        <v>1146</v>
      </c>
      <c r="Q686" s="405"/>
      <c r="R686" s="407"/>
      <c r="S686" s="405"/>
      <c r="T686" s="405"/>
      <c r="U686" s="407"/>
      <c r="V686" s="408"/>
      <c r="W686" s="405"/>
      <c r="X686" s="406"/>
      <c r="Y686" s="379"/>
      <c r="Z686" s="379"/>
    </row>
    <row r="687" spans="1:26" ht="30.6">
      <c r="A687" s="400" t="s">
        <v>2561</v>
      </c>
      <c r="B687" s="401" t="s">
        <v>1414</v>
      </c>
      <c r="C687" s="402" t="s">
        <v>2571</v>
      </c>
      <c r="D687" s="403" t="s">
        <v>404</v>
      </c>
      <c r="E687" s="402" t="s">
        <v>404</v>
      </c>
      <c r="F687" s="402" t="s">
        <v>404</v>
      </c>
      <c r="G687" s="402" t="s">
        <v>404</v>
      </c>
      <c r="H687" s="402">
        <v>4</v>
      </c>
      <c r="I687" s="402" t="s">
        <v>404</v>
      </c>
      <c r="J687" s="402" t="s">
        <v>1137</v>
      </c>
      <c r="K687" s="402">
        <v>35</v>
      </c>
      <c r="L687" s="402" t="s">
        <v>1138</v>
      </c>
      <c r="M687" s="403" t="s">
        <v>420</v>
      </c>
      <c r="N687" s="402" t="s">
        <v>1139</v>
      </c>
      <c r="O687" s="411"/>
      <c r="P687" s="405" t="s">
        <v>2572</v>
      </c>
      <c r="Q687" s="405"/>
      <c r="R687" s="407"/>
      <c r="S687" s="405"/>
      <c r="T687" s="405"/>
      <c r="U687" s="407"/>
      <c r="V687" s="408"/>
      <c r="W687" s="405"/>
      <c r="X687" s="406"/>
      <c r="Y687" s="379"/>
      <c r="Z687" s="379"/>
    </row>
    <row r="688" spans="1:26">
      <c r="A688" s="400" t="s">
        <v>2561</v>
      </c>
      <c r="B688" s="401" t="s">
        <v>1414</v>
      </c>
      <c r="C688" s="402" t="s">
        <v>2573</v>
      </c>
      <c r="D688" s="403">
        <v>75</v>
      </c>
      <c r="E688" s="402">
        <v>70</v>
      </c>
      <c r="F688" s="402">
        <v>60</v>
      </c>
      <c r="G688" s="402">
        <v>30</v>
      </c>
      <c r="H688" s="402">
        <v>4</v>
      </c>
      <c r="I688" s="402">
        <v>2</v>
      </c>
      <c r="J688" s="402" t="s">
        <v>1137</v>
      </c>
      <c r="K688" s="402">
        <v>40</v>
      </c>
      <c r="L688" s="402" t="s">
        <v>1138</v>
      </c>
      <c r="M688" s="403" t="s">
        <v>419</v>
      </c>
      <c r="N688" s="402" t="s">
        <v>1139</v>
      </c>
      <c r="O688" s="411"/>
      <c r="P688" s="405"/>
      <c r="Q688" s="405"/>
      <c r="R688" s="407"/>
      <c r="S688" s="405"/>
      <c r="T688" s="405"/>
      <c r="U688" s="407"/>
      <c r="V688" s="408"/>
      <c r="W688" s="405"/>
      <c r="X688" s="406"/>
      <c r="Y688" s="379"/>
      <c r="Z688" s="379"/>
    </row>
    <row r="689" spans="1:26">
      <c r="A689" s="400" t="s">
        <v>2561</v>
      </c>
      <c r="B689" s="401" t="s">
        <v>1414</v>
      </c>
      <c r="C689" s="402" t="s">
        <v>2574</v>
      </c>
      <c r="D689" s="403">
        <v>75</v>
      </c>
      <c r="E689" s="402">
        <v>70</v>
      </c>
      <c r="F689" s="402">
        <v>60</v>
      </c>
      <c r="G689" s="402">
        <v>30</v>
      </c>
      <c r="H689" s="402">
        <v>4</v>
      </c>
      <c r="I689" s="402">
        <v>2</v>
      </c>
      <c r="J689" s="402" t="s">
        <v>1137</v>
      </c>
      <c r="K689" s="402">
        <v>35</v>
      </c>
      <c r="L689" s="402" t="s">
        <v>2575</v>
      </c>
      <c r="M689" s="403" t="s">
        <v>419</v>
      </c>
      <c r="N689" s="402" t="s">
        <v>1139</v>
      </c>
      <c r="O689" s="411"/>
      <c r="P689" s="405"/>
      <c r="Q689" s="405"/>
      <c r="R689" s="407"/>
      <c r="S689" s="405"/>
      <c r="T689" s="405"/>
      <c r="U689" s="407"/>
      <c r="V689" s="408"/>
      <c r="W689" s="405"/>
      <c r="X689" s="406"/>
      <c r="Y689" s="379"/>
      <c r="Z689" s="379"/>
    </row>
    <row r="690" spans="1:26" ht="51">
      <c r="A690" s="400" t="s">
        <v>2561</v>
      </c>
      <c r="B690" s="401" t="s">
        <v>1414</v>
      </c>
      <c r="C690" s="402" t="s">
        <v>2576</v>
      </c>
      <c r="D690" s="403">
        <v>75</v>
      </c>
      <c r="E690" s="402">
        <v>70</v>
      </c>
      <c r="F690" s="402">
        <v>60</v>
      </c>
      <c r="G690" s="402">
        <v>30</v>
      </c>
      <c r="H690" s="402">
        <v>10</v>
      </c>
      <c r="I690" s="402" t="s">
        <v>404</v>
      </c>
      <c r="J690" s="402" t="s">
        <v>1123</v>
      </c>
      <c r="K690" s="402">
        <v>40</v>
      </c>
      <c r="L690" s="402" t="s">
        <v>1124</v>
      </c>
      <c r="M690" s="403" t="s">
        <v>419</v>
      </c>
      <c r="N690" s="402" t="s">
        <v>1112</v>
      </c>
      <c r="O690" s="411"/>
      <c r="P690" s="405" t="s">
        <v>1125</v>
      </c>
      <c r="Q690" s="405"/>
      <c r="R690" s="407"/>
      <c r="S690" s="405"/>
      <c r="T690" s="405"/>
      <c r="U690" s="407"/>
      <c r="V690" s="408"/>
      <c r="W690" s="405"/>
      <c r="X690" s="406"/>
      <c r="Y690" s="379"/>
      <c r="Z690" s="379"/>
    </row>
    <row r="691" spans="1:26" ht="40.799999999999997">
      <c r="A691" s="400" t="s">
        <v>2561</v>
      </c>
      <c r="B691" s="401" t="s">
        <v>1414</v>
      </c>
      <c r="C691" s="402" t="s">
        <v>2577</v>
      </c>
      <c r="D691" s="403">
        <v>75</v>
      </c>
      <c r="E691" s="402">
        <v>70</v>
      </c>
      <c r="F691" s="402">
        <v>60</v>
      </c>
      <c r="G691" s="402">
        <v>30</v>
      </c>
      <c r="H691" s="402">
        <v>6</v>
      </c>
      <c r="I691" s="402" t="s">
        <v>404</v>
      </c>
      <c r="J691" s="402" t="s">
        <v>1123</v>
      </c>
      <c r="K691" s="402">
        <v>40</v>
      </c>
      <c r="L691" s="402" t="s">
        <v>1124</v>
      </c>
      <c r="M691" s="403" t="s">
        <v>419</v>
      </c>
      <c r="N691" s="402" t="s">
        <v>1112</v>
      </c>
      <c r="O691" s="411"/>
      <c r="P691" s="405" t="s">
        <v>2578</v>
      </c>
      <c r="Q691" s="405"/>
      <c r="R691" s="407"/>
      <c r="S691" s="405"/>
      <c r="T691" s="405"/>
      <c r="U691" s="407"/>
      <c r="V691" s="408"/>
      <c r="W691" s="405"/>
      <c r="X691" s="406"/>
      <c r="Y691" s="379"/>
      <c r="Z691" s="379"/>
    </row>
    <row r="692" spans="1:26" ht="71.400000000000006">
      <c r="A692" s="400" t="s">
        <v>2561</v>
      </c>
      <c r="B692" s="401" t="s">
        <v>1414</v>
      </c>
      <c r="C692" s="402" t="s">
        <v>2579</v>
      </c>
      <c r="D692" s="403">
        <v>75</v>
      </c>
      <c r="E692" s="402">
        <v>70</v>
      </c>
      <c r="F692" s="402">
        <v>60</v>
      </c>
      <c r="G692" s="402">
        <v>30</v>
      </c>
      <c r="H692" s="402">
        <v>4</v>
      </c>
      <c r="I692" s="402">
        <v>2</v>
      </c>
      <c r="J692" s="402" t="s">
        <v>1123</v>
      </c>
      <c r="K692" s="402">
        <v>40</v>
      </c>
      <c r="L692" s="402" t="s">
        <v>1124</v>
      </c>
      <c r="M692" s="403" t="s">
        <v>419</v>
      </c>
      <c r="N692" s="402" t="s">
        <v>1112</v>
      </c>
      <c r="O692" s="411"/>
      <c r="P692" s="405" t="s">
        <v>1218</v>
      </c>
      <c r="Q692" s="405"/>
      <c r="R692" s="407"/>
      <c r="S692" s="405"/>
      <c r="T692" s="405"/>
      <c r="U692" s="407"/>
      <c r="V692" s="408"/>
      <c r="W692" s="405"/>
      <c r="X692" s="406"/>
      <c r="Y692" s="379"/>
      <c r="Z692" s="379"/>
    </row>
    <row r="693" spans="1:26" ht="20.399999999999999">
      <c r="A693" s="400" t="s">
        <v>2580</v>
      </c>
      <c r="B693" s="401" t="s">
        <v>1414</v>
      </c>
      <c r="C693" s="402" t="s">
        <v>2581</v>
      </c>
      <c r="D693" s="403">
        <v>75</v>
      </c>
      <c r="E693" s="402">
        <v>70</v>
      </c>
      <c r="F693" s="402">
        <v>60</v>
      </c>
      <c r="G693" s="402">
        <v>30</v>
      </c>
      <c r="H693" s="402">
        <v>4</v>
      </c>
      <c r="I693" s="402">
        <v>2</v>
      </c>
      <c r="J693" s="402" t="s">
        <v>1137</v>
      </c>
      <c r="K693" s="402">
        <v>40</v>
      </c>
      <c r="L693" s="402" t="s">
        <v>1138</v>
      </c>
      <c r="M693" s="403" t="s">
        <v>419</v>
      </c>
      <c r="N693" s="402" t="s">
        <v>1139</v>
      </c>
      <c r="O693" s="411"/>
      <c r="P693" s="405"/>
      <c r="Q693" s="405"/>
      <c r="R693" s="407"/>
      <c r="S693" s="405"/>
      <c r="T693" s="405"/>
      <c r="U693" s="407"/>
      <c r="V693" s="408"/>
      <c r="W693" s="405"/>
      <c r="X693" s="406"/>
      <c r="Y693" s="379"/>
      <c r="Z693" s="379"/>
    </row>
    <row r="694" spans="1:26" ht="20.399999999999999">
      <c r="A694" s="400" t="s">
        <v>2580</v>
      </c>
      <c r="B694" s="401" t="s">
        <v>1414</v>
      </c>
      <c r="C694" s="402" t="s">
        <v>2582</v>
      </c>
      <c r="D694" s="403">
        <v>75</v>
      </c>
      <c r="E694" s="402">
        <v>70</v>
      </c>
      <c r="F694" s="402">
        <v>60</v>
      </c>
      <c r="G694" s="402">
        <v>30</v>
      </c>
      <c r="H694" s="402">
        <v>6</v>
      </c>
      <c r="I694" s="402">
        <v>2</v>
      </c>
      <c r="J694" s="402" t="s">
        <v>1137</v>
      </c>
      <c r="K694" s="402">
        <v>35</v>
      </c>
      <c r="L694" s="402" t="s">
        <v>1138</v>
      </c>
      <c r="M694" s="403" t="s">
        <v>419</v>
      </c>
      <c r="N694" s="402" t="s">
        <v>1139</v>
      </c>
      <c r="O694" s="411"/>
      <c r="P694" s="405"/>
      <c r="Q694" s="405"/>
      <c r="R694" s="407"/>
      <c r="S694" s="405"/>
      <c r="T694" s="405"/>
      <c r="U694" s="407"/>
      <c r="V694" s="408"/>
      <c r="W694" s="405"/>
      <c r="X694" s="406"/>
      <c r="Y694" s="379"/>
      <c r="Z694" s="379"/>
    </row>
    <row r="695" spans="1:26" ht="20.399999999999999">
      <c r="A695" s="400" t="s">
        <v>2580</v>
      </c>
      <c r="B695" s="401" t="s">
        <v>1414</v>
      </c>
      <c r="C695" s="402" t="s">
        <v>2583</v>
      </c>
      <c r="D695" s="403">
        <v>75</v>
      </c>
      <c r="E695" s="402">
        <v>70</v>
      </c>
      <c r="F695" s="402">
        <v>60</v>
      </c>
      <c r="G695" s="402">
        <v>30</v>
      </c>
      <c r="H695" s="402">
        <v>4</v>
      </c>
      <c r="I695" s="402">
        <v>2</v>
      </c>
      <c r="J695" s="402" t="s">
        <v>1137</v>
      </c>
      <c r="K695" s="402">
        <v>35</v>
      </c>
      <c r="L695" s="402" t="s">
        <v>1138</v>
      </c>
      <c r="M695" s="403" t="s">
        <v>419</v>
      </c>
      <c r="N695" s="402" t="s">
        <v>1139</v>
      </c>
      <c r="O695" s="411"/>
      <c r="P695" s="405"/>
      <c r="Q695" s="405"/>
      <c r="R695" s="407"/>
      <c r="S695" s="405"/>
      <c r="T695" s="405"/>
      <c r="U695" s="407"/>
      <c r="V695" s="408"/>
      <c r="W695" s="405"/>
      <c r="X695" s="406"/>
      <c r="Y695" s="379"/>
      <c r="Z695" s="379"/>
    </row>
    <row r="696" spans="1:26" ht="20.399999999999999">
      <c r="A696" s="400" t="s">
        <v>2580</v>
      </c>
      <c r="B696" s="401" t="s">
        <v>1414</v>
      </c>
      <c r="C696" s="402" t="s">
        <v>2584</v>
      </c>
      <c r="D696" s="403">
        <v>75</v>
      </c>
      <c r="E696" s="402">
        <v>70</v>
      </c>
      <c r="F696" s="402">
        <v>60</v>
      </c>
      <c r="G696" s="402">
        <v>30</v>
      </c>
      <c r="H696" s="402">
        <v>6</v>
      </c>
      <c r="I696" s="402">
        <v>2</v>
      </c>
      <c r="J696" s="402" t="s">
        <v>1137</v>
      </c>
      <c r="K696" s="402">
        <v>40</v>
      </c>
      <c r="L696" s="402" t="s">
        <v>1138</v>
      </c>
      <c r="M696" s="403" t="s">
        <v>419</v>
      </c>
      <c r="N696" s="402" t="s">
        <v>1139</v>
      </c>
      <c r="O696" s="411"/>
      <c r="P696" s="408"/>
      <c r="Q696" s="405"/>
      <c r="R696" s="407"/>
      <c r="S696" s="405"/>
      <c r="T696" s="405"/>
      <c r="U696" s="407"/>
      <c r="V696" s="408"/>
      <c r="W696" s="405"/>
      <c r="X696" s="406"/>
      <c r="Y696" s="379"/>
      <c r="Z696" s="379"/>
    </row>
    <row r="697" spans="1:26" ht="51">
      <c r="A697" s="400" t="s">
        <v>2580</v>
      </c>
      <c r="B697" s="401" t="s">
        <v>1414</v>
      </c>
      <c r="C697" s="402" t="s">
        <v>2585</v>
      </c>
      <c r="D697" s="403">
        <v>75</v>
      </c>
      <c r="E697" s="402">
        <v>70</v>
      </c>
      <c r="F697" s="402">
        <v>60</v>
      </c>
      <c r="G697" s="402">
        <v>30</v>
      </c>
      <c r="H697" s="402">
        <v>6</v>
      </c>
      <c r="I697" s="402">
        <v>2</v>
      </c>
      <c r="J697" s="402" t="s">
        <v>1123</v>
      </c>
      <c r="K697" s="402">
        <v>35</v>
      </c>
      <c r="L697" s="402" t="s">
        <v>1124</v>
      </c>
      <c r="M697" s="403" t="s">
        <v>419</v>
      </c>
      <c r="N697" s="402" t="s">
        <v>1139</v>
      </c>
      <c r="O697" s="411"/>
      <c r="P697" s="405" t="s">
        <v>2586</v>
      </c>
      <c r="Q697" s="405"/>
      <c r="R697" s="407"/>
      <c r="S697" s="405"/>
      <c r="T697" s="405"/>
      <c r="U697" s="407"/>
      <c r="V697" s="408"/>
      <c r="W697" s="405"/>
      <c r="X697" s="406"/>
      <c r="Y697" s="379"/>
      <c r="Z697" s="379"/>
    </row>
    <row r="698" spans="1:26" ht="20.399999999999999">
      <c r="A698" s="400" t="s">
        <v>2580</v>
      </c>
      <c r="B698" s="401" t="s">
        <v>1414</v>
      </c>
      <c r="C698" s="402" t="s">
        <v>2587</v>
      </c>
      <c r="D698" s="403">
        <v>75</v>
      </c>
      <c r="E698" s="402">
        <v>70</v>
      </c>
      <c r="F698" s="402">
        <v>60</v>
      </c>
      <c r="G698" s="402">
        <v>30</v>
      </c>
      <c r="H698" s="402">
        <v>6</v>
      </c>
      <c r="I698" s="402">
        <v>2</v>
      </c>
      <c r="J698" s="402" t="s">
        <v>1137</v>
      </c>
      <c r="K698" s="402">
        <v>35</v>
      </c>
      <c r="L698" s="402" t="s">
        <v>1138</v>
      </c>
      <c r="M698" s="403" t="s">
        <v>419</v>
      </c>
      <c r="N698" s="402" t="s">
        <v>1139</v>
      </c>
      <c r="O698" s="411"/>
      <c r="P698" s="405"/>
      <c r="Q698" s="405"/>
      <c r="R698" s="407"/>
      <c r="S698" s="405"/>
      <c r="T698" s="405"/>
      <c r="U698" s="407"/>
      <c r="V698" s="408"/>
      <c r="W698" s="405"/>
      <c r="X698" s="406"/>
      <c r="Y698" s="379"/>
      <c r="Z698" s="379"/>
    </row>
    <row r="699" spans="1:26" ht="20.399999999999999">
      <c r="A699" s="400" t="s">
        <v>2580</v>
      </c>
      <c r="B699" s="401" t="s">
        <v>1414</v>
      </c>
      <c r="C699" s="402" t="s">
        <v>2588</v>
      </c>
      <c r="D699" s="403">
        <v>75</v>
      </c>
      <c r="E699" s="402">
        <v>70</v>
      </c>
      <c r="F699" s="402">
        <v>60</v>
      </c>
      <c r="G699" s="402">
        <v>30</v>
      </c>
      <c r="H699" s="402">
        <v>6</v>
      </c>
      <c r="I699" s="402">
        <v>2</v>
      </c>
      <c r="J699" s="402" t="s">
        <v>1137</v>
      </c>
      <c r="K699" s="402">
        <v>35</v>
      </c>
      <c r="L699" s="402" t="s">
        <v>1138</v>
      </c>
      <c r="M699" s="403" t="s">
        <v>419</v>
      </c>
      <c r="N699" s="402" t="s">
        <v>1139</v>
      </c>
      <c r="O699" s="411"/>
      <c r="P699" s="405"/>
      <c r="Q699" s="405"/>
      <c r="R699" s="407"/>
      <c r="S699" s="405"/>
      <c r="T699" s="405"/>
      <c r="U699" s="407"/>
      <c r="V699" s="408"/>
      <c r="W699" s="405"/>
      <c r="X699" s="406"/>
      <c r="Y699" s="379"/>
      <c r="Z699" s="379"/>
    </row>
    <row r="700" spans="1:26" ht="20.399999999999999">
      <c r="A700" s="400" t="s">
        <v>2580</v>
      </c>
      <c r="B700" s="401" t="s">
        <v>1414</v>
      </c>
      <c r="C700" s="402" t="s">
        <v>2589</v>
      </c>
      <c r="D700" s="403">
        <v>75</v>
      </c>
      <c r="E700" s="402">
        <v>70</v>
      </c>
      <c r="F700" s="402">
        <v>60</v>
      </c>
      <c r="G700" s="402">
        <v>30</v>
      </c>
      <c r="H700" s="402">
        <v>6</v>
      </c>
      <c r="I700" s="402">
        <v>2</v>
      </c>
      <c r="J700" s="402" t="s">
        <v>1123</v>
      </c>
      <c r="K700" s="402">
        <v>35</v>
      </c>
      <c r="L700" s="402" t="s">
        <v>1124</v>
      </c>
      <c r="M700" s="403" t="s">
        <v>419</v>
      </c>
      <c r="N700" s="402" t="s">
        <v>1139</v>
      </c>
      <c r="O700" s="411"/>
      <c r="P700" s="405"/>
      <c r="Q700" s="405"/>
      <c r="R700" s="407"/>
      <c r="S700" s="405"/>
      <c r="T700" s="405"/>
      <c r="U700" s="407"/>
      <c r="V700" s="408"/>
      <c r="W700" s="405"/>
      <c r="X700" s="406"/>
      <c r="Y700" s="379"/>
      <c r="Z700" s="379"/>
    </row>
    <row r="701" spans="1:26" ht="20.399999999999999">
      <c r="A701" s="400" t="s">
        <v>2580</v>
      </c>
      <c r="B701" s="401" t="s">
        <v>1414</v>
      </c>
      <c r="C701" s="402" t="s">
        <v>2590</v>
      </c>
      <c r="D701" s="403">
        <v>75</v>
      </c>
      <c r="E701" s="402">
        <v>70</v>
      </c>
      <c r="F701" s="402">
        <v>60</v>
      </c>
      <c r="G701" s="402">
        <v>30</v>
      </c>
      <c r="H701" s="402">
        <v>6</v>
      </c>
      <c r="I701" s="402">
        <v>2</v>
      </c>
      <c r="J701" s="402" t="s">
        <v>1137</v>
      </c>
      <c r="K701" s="402">
        <v>30</v>
      </c>
      <c r="L701" s="402" t="s">
        <v>1138</v>
      </c>
      <c r="M701" s="403" t="s">
        <v>419</v>
      </c>
      <c r="N701" s="402" t="s">
        <v>1139</v>
      </c>
      <c r="O701" s="411"/>
      <c r="P701" s="405"/>
      <c r="Q701" s="405"/>
      <c r="R701" s="407"/>
      <c r="S701" s="405"/>
      <c r="T701" s="405"/>
      <c r="U701" s="407"/>
      <c r="V701" s="408"/>
      <c r="W701" s="405"/>
      <c r="X701" s="406"/>
      <c r="Y701" s="379"/>
      <c r="Z701" s="379"/>
    </row>
    <row r="702" spans="1:26" ht="20.399999999999999">
      <c r="A702" s="400" t="s">
        <v>2580</v>
      </c>
      <c r="B702" s="401" t="s">
        <v>1414</v>
      </c>
      <c r="C702" s="402" t="s">
        <v>2591</v>
      </c>
      <c r="D702" s="403">
        <v>75</v>
      </c>
      <c r="E702" s="402">
        <v>70</v>
      </c>
      <c r="F702" s="402">
        <v>60</v>
      </c>
      <c r="G702" s="402">
        <v>30</v>
      </c>
      <c r="H702" s="402">
        <v>6</v>
      </c>
      <c r="I702" s="402">
        <v>2</v>
      </c>
      <c r="J702" s="402" t="s">
        <v>1137</v>
      </c>
      <c r="K702" s="402">
        <v>35</v>
      </c>
      <c r="L702" s="402" t="s">
        <v>1138</v>
      </c>
      <c r="M702" s="403" t="s">
        <v>419</v>
      </c>
      <c r="N702" s="402" t="s">
        <v>1139</v>
      </c>
      <c r="O702" s="411"/>
      <c r="P702" s="405"/>
      <c r="Q702" s="405"/>
      <c r="R702" s="407"/>
      <c r="S702" s="405"/>
      <c r="T702" s="405"/>
      <c r="U702" s="407"/>
      <c r="V702" s="408"/>
      <c r="W702" s="405"/>
      <c r="X702" s="406"/>
      <c r="Y702" s="379"/>
      <c r="Z702" s="379"/>
    </row>
    <row r="703" spans="1:26" ht="20.399999999999999">
      <c r="A703" s="400" t="s">
        <v>2580</v>
      </c>
      <c r="B703" s="401" t="s">
        <v>1414</v>
      </c>
      <c r="C703" s="402" t="s">
        <v>2592</v>
      </c>
      <c r="D703" s="403">
        <v>75</v>
      </c>
      <c r="E703" s="402">
        <v>70</v>
      </c>
      <c r="F703" s="402">
        <v>60</v>
      </c>
      <c r="G703" s="402">
        <v>30</v>
      </c>
      <c r="H703" s="402">
        <v>6</v>
      </c>
      <c r="I703" s="402">
        <v>2</v>
      </c>
      <c r="J703" s="402" t="s">
        <v>1137</v>
      </c>
      <c r="K703" s="402">
        <v>35</v>
      </c>
      <c r="L703" s="402" t="s">
        <v>1138</v>
      </c>
      <c r="M703" s="403" t="s">
        <v>419</v>
      </c>
      <c r="N703" s="402" t="s">
        <v>1139</v>
      </c>
      <c r="O703" s="411"/>
      <c r="P703" s="408"/>
      <c r="Q703" s="405"/>
      <c r="R703" s="407"/>
      <c r="S703" s="405"/>
      <c r="T703" s="405"/>
      <c r="U703" s="407"/>
      <c r="V703" s="408"/>
      <c r="W703" s="405"/>
      <c r="X703" s="406"/>
      <c r="Y703" s="379"/>
      <c r="Z703" s="379"/>
    </row>
    <row r="704" spans="1:26">
      <c r="A704" s="400" t="s">
        <v>2561</v>
      </c>
      <c r="B704" s="401" t="s">
        <v>1414</v>
      </c>
      <c r="C704" s="402" t="s">
        <v>2593</v>
      </c>
      <c r="D704" s="403">
        <v>75</v>
      </c>
      <c r="E704" s="402">
        <v>70</v>
      </c>
      <c r="F704" s="402">
        <v>60</v>
      </c>
      <c r="G704" s="402">
        <v>30</v>
      </c>
      <c r="H704" s="402">
        <v>4</v>
      </c>
      <c r="I704" s="402">
        <v>2</v>
      </c>
      <c r="J704" s="402" t="s">
        <v>1137</v>
      </c>
      <c r="K704" s="402">
        <v>40</v>
      </c>
      <c r="L704" s="402" t="s">
        <v>1138</v>
      </c>
      <c r="M704" s="403" t="s">
        <v>419</v>
      </c>
      <c r="N704" s="402" t="s">
        <v>1139</v>
      </c>
      <c r="O704" s="411"/>
      <c r="P704" s="405"/>
      <c r="Q704" s="405"/>
      <c r="R704" s="407"/>
      <c r="S704" s="405"/>
      <c r="T704" s="405"/>
      <c r="U704" s="407"/>
      <c r="V704" s="408"/>
      <c r="W704" s="405"/>
      <c r="X704" s="406"/>
      <c r="Y704" s="379"/>
      <c r="Z704" s="379"/>
    </row>
    <row r="705" spans="1:26">
      <c r="A705" s="400" t="s">
        <v>2561</v>
      </c>
      <c r="B705" s="401" t="s">
        <v>1414</v>
      </c>
      <c r="C705" s="402" t="s">
        <v>1580</v>
      </c>
      <c r="D705" s="403">
        <v>75</v>
      </c>
      <c r="E705" s="402">
        <v>70</v>
      </c>
      <c r="F705" s="402">
        <v>60</v>
      </c>
      <c r="G705" s="402">
        <v>30</v>
      </c>
      <c r="H705" s="402">
        <v>4</v>
      </c>
      <c r="I705" s="402">
        <v>2</v>
      </c>
      <c r="J705" s="402" t="s">
        <v>1137</v>
      </c>
      <c r="K705" s="402">
        <v>40</v>
      </c>
      <c r="L705" s="402" t="s">
        <v>1145</v>
      </c>
      <c r="M705" s="403" t="s">
        <v>419</v>
      </c>
      <c r="N705" s="402" t="s">
        <v>1139</v>
      </c>
      <c r="O705" s="411"/>
      <c r="P705" s="405"/>
      <c r="Q705" s="405"/>
      <c r="R705" s="407"/>
      <c r="S705" s="405"/>
      <c r="T705" s="405"/>
      <c r="U705" s="407"/>
      <c r="V705" s="408"/>
      <c r="W705" s="405"/>
      <c r="X705" s="406"/>
      <c r="Y705" s="379"/>
      <c r="Z705" s="379"/>
    </row>
    <row r="706" spans="1:26" ht="91.8">
      <c r="A706" s="400" t="s">
        <v>2561</v>
      </c>
      <c r="B706" s="401" t="s">
        <v>1414</v>
      </c>
      <c r="C706" s="402" t="s">
        <v>1374</v>
      </c>
      <c r="D706" s="403">
        <v>75</v>
      </c>
      <c r="E706" s="402">
        <v>70</v>
      </c>
      <c r="F706" s="402">
        <v>60</v>
      </c>
      <c r="G706" s="402">
        <v>30</v>
      </c>
      <c r="H706" s="402">
        <v>4</v>
      </c>
      <c r="I706" s="402">
        <v>2</v>
      </c>
      <c r="J706" s="402" t="s">
        <v>1137</v>
      </c>
      <c r="K706" s="402">
        <v>40</v>
      </c>
      <c r="L706" s="402" t="s">
        <v>1138</v>
      </c>
      <c r="M706" s="403" t="s">
        <v>419</v>
      </c>
      <c r="N706" s="402" t="s">
        <v>1139</v>
      </c>
      <c r="O706" s="411"/>
      <c r="P706" s="405" t="s">
        <v>2594</v>
      </c>
      <c r="Q706" s="405" t="s">
        <v>2595</v>
      </c>
      <c r="R706" s="407"/>
      <c r="S706" s="405"/>
      <c r="T706" s="405"/>
      <c r="U706" s="407"/>
      <c r="V706" s="408"/>
      <c r="W706" s="405"/>
      <c r="X706" s="406"/>
      <c r="Y706" s="379"/>
      <c r="Z706" s="379"/>
    </row>
    <row r="707" spans="1:26" ht="30.6">
      <c r="A707" s="400" t="s">
        <v>2561</v>
      </c>
      <c r="B707" s="401" t="s">
        <v>1414</v>
      </c>
      <c r="C707" s="402" t="s">
        <v>1441</v>
      </c>
      <c r="D707" s="403">
        <v>75</v>
      </c>
      <c r="E707" s="402">
        <v>70</v>
      </c>
      <c r="F707" s="402">
        <v>60</v>
      </c>
      <c r="G707" s="402">
        <v>30</v>
      </c>
      <c r="H707" s="402">
        <v>4</v>
      </c>
      <c r="I707" s="402">
        <v>2</v>
      </c>
      <c r="J707" s="402" t="s">
        <v>1137</v>
      </c>
      <c r="K707" s="402">
        <v>40</v>
      </c>
      <c r="L707" s="402" t="s">
        <v>1138</v>
      </c>
      <c r="M707" s="403" t="s">
        <v>419</v>
      </c>
      <c r="N707" s="402" t="s">
        <v>1139</v>
      </c>
      <c r="O707" s="411"/>
      <c r="P707" s="405" t="s">
        <v>1203</v>
      </c>
      <c r="Q707" s="405"/>
      <c r="R707" s="407"/>
      <c r="S707" s="405"/>
      <c r="T707" s="405"/>
      <c r="U707" s="407"/>
      <c r="V707" s="408"/>
      <c r="W707" s="405"/>
      <c r="X707" s="406"/>
      <c r="Y707" s="379"/>
      <c r="Z707" s="379"/>
    </row>
    <row r="708" spans="1:26" ht="20.399999999999999">
      <c r="A708" s="400" t="s">
        <v>2561</v>
      </c>
      <c r="B708" s="401" t="s">
        <v>1414</v>
      </c>
      <c r="C708" s="402" t="s">
        <v>2596</v>
      </c>
      <c r="D708" s="403">
        <v>75</v>
      </c>
      <c r="E708" s="402">
        <v>70</v>
      </c>
      <c r="F708" s="402">
        <v>60</v>
      </c>
      <c r="G708" s="402">
        <v>30</v>
      </c>
      <c r="H708" s="402">
        <v>4</v>
      </c>
      <c r="I708" s="402" t="s">
        <v>404</v>
      </c>
      <c r="J708" s="402" t="s">
        <v>1123</v>
      </c>
      <c r="K708" s="402">
        <v>45</v>
      </c>
      <c r="L708" s="402" t="s">
        <v>1124</v>
      </c>
      <c r="M708" s="403" t="s">
        <v>419</v>
      </c>
      <c r="N708" s="402" t="s">
        <v>1112</v>
      </c>
      <c r="O708" s="411"/>
      <c r="P708" s="405"/>
      <c r="Q708" s="405"/>
      <c r="R708" s="407"/>
      <c r="S708" s="405"/>
      <c r="T708" s="405"/>
      <c r="U708" s="407"/>
      <c r="V708" s="408"/>
      <c r="W708" s="405"/>
      <c r="X708" s="406"/>
      <c r="Y708" s="379"/>
      <c r="Z708" s="379"/>
    </row>
    <row r="709" spans="1:26">
      <c r="A709" s="400" t="s">
        <v>2561</v>
      </c>
      <c r="B709" s="401" t="s">
        <v>1414</v>
      </c>
      <c r="C709" s="402" t="s">
        <v>2597</v>
      </c>
      <c r="D709" s="403" t="s">
        <v>404</v>
      </c>
      <c r="E709" s="402" t="s">
        <v>404</v>
      </c>
      <c r="F709" s="402" t="s">
        <v>404</v>
      </c>
      <c r="G709" s="402" t="s">
        <v>404</v>
      </c>
      <c r="H709" s="402">
        <v>10</v>
      </c>
      <c r="I709" s="402" t="s">
        <v>404</v>
      </c>
      <c r="J709" s="402" t="s">
        <v>1123</v>
      </c>
      <c r="K709" s="402">
        <v>40</v>
      </c>
      <c r="L709" s="402" t="s">
        <v>1134</v>
      </c>
      <c r="M709" s="403" t="s">
        <v>420</v>
      </c>
      <c r="N709" s="402" t="s">
        <v>1112</v>
      </c>
      <c r="O709" s="411"/>
      <c r="P709" s="405"/>
      <c r="Q709" s="405"/>
      <c r="R709" s="407"/>
      <c r="S709" s="405"/>
      <c r="T709" s="405"/>
      <c r="U709" s="407"/>
      <c r="V709" s="408"/>
      <c r="W709" s="405"/>
      <c r="X709" s="406"/>
      <c r="Y709" s="379"/>
      <c r="Z709" s="379"/>
    </row>
    <row r="710" spans="1:26" ht="61.2">
      <c r="A710" s="400" t="s">
        <v>2561</v>
      </c>
      <c r="B710" s="401" t="s">
        <v>1414</v>
      </c>
      <c r="C710" s="402" t="s">
        <v>2598</v>
      </c>
      <c r="D710" s="403" t="s">
        <v>404</v>
      </c>
      <c r="E710" s="402">
        <v>68</v>
      </c>
      <c r="F710" s="402" t="s">
        <v>404</v>
      </c>
      <c r="G710" s="402" t="s">
        <v>404</v>
      </c>
      <c r="H710" s="402">
        <v>10</v>
      </c>
      <c r="I710" s="402" t="s">
        <v>404</v>
      </c>
      <c r="J710" s="402" t="s">
        <v>1123</v>
      </c>
      <c r="K710" s="402">
        <v>40</v>
      </c>
      <c r="L710" s="402" t="s">
        <v>1134</v>
      </c>
      <c r="M710" s="403" t="s">
        <v>419</v>
      </c>
      <c r="N710" s="402" t="s">
        <v>1112</v>
      </c>
      <c r="O710" s="411"/>
      <c r="P710" s="405" t="s">
        <v>2599</v>
      </c>
      <c r="Q710" s="405"/>
      <c r="R710" s="407"/>
      <c r="S710" s="405"/>
      <c r="T710" s="405"/>
      <c r="U710" s="407"/>
      <c r="V710" s="408"/>
      <c r="W710" s="405"/>
      <c r="X710" s="406"/>
      <c r="Y710" s="379"/>
      <c r="Z710" s="379"/>
    </row>
    <row r="711" spans="1:26" ht="40.799999999999997">
      <c r="A711" s="400" t="s">
        <v>2561</v>
      </c>
      <c r="B711" s="401" t="s">
        <v>1414</v>
      </c>
      <c r="C711" s="402" t="s">
        <v>2600</v>
      </c>
      <c r="D711" s="403">
        <v>75</v>
      </c>
      <c r="E711" s="402">
        <v>70</v>
      </c>
      <c r="F711" s="402">
        <v>60</v>
      </c>
      <c r="G711" s="402">
        <v>30</v>
      </c>
      <c r="H711" s="402">
        <v>6</v>
      </c>
      <c r="I711" s="402">
        <v>2</v>
      </c>
      <c r="J711" s="402" t="s">
        <v>1137</v>
      </c>
      <c r="K711" s="402">
        <v>40</v>
      </c>
      <c r="L711" s="418" t="s">
        <v>1221</v>
      </c>
      <c r="M711" s="403" t="s">
        <v>419</v>
      </c>
      <c r="N711" s="402" t="s">
        <v>1139</v>
      </c>
      <c r="O711" s="411"/>
      <c r="P711" s="405" t="s">
        <v>2601</v>
      </c>
      <c r="Q711" s="405"/>
      <c r="R711" s="407"/>
      <c r="S711" s="405"/>
      <c r="T711" s="405"/>
      <c r="U711" s="407"/>
      <c r="V711" s="408"/>
      <c r="W711" s="405"/>
      <c r="X711" s="406"/>
      <c r="Y711" s="379"/>
      <c r="Z711" s="379"/>
    </row>
    <row r="712" spans="1:26" ht="81.599999999999994">
      <c r="A712" s="400" t="s">
        <v>2561</v>
      </c>
      <c r="B712" s="401" t="s">
        <v>1414</v>
      </c>
      <c r="C712" s="402" t="s">
        <v>2602</v>
      </c>
      <c r="D712" s="403">
        <v>75</v>
      </c>
      <c r="E712" s="402">
        <v>70</v>
      </c>
      <c r="F712" s="402">
        <v>60</v>
      </c>
      <c r="G712" s="402">
        <v>30</v>
      </c>
      <c r="H712" s="402">
        <v>12</v>
      </c>
      <c r="I712" s="402">
        <v>2</v>
      </c>
      <c r="J712" s="402" t="s">
        <v>1123</v>
      </c>
      <c r="K712" s="402">
        <v>40</v>
      </c>
      <c r="L712" s="418" t="s">
        <v>1124</v>
      </c>
      <c r="M712" s="403" t="s">
        <v>419</v>
      </c>
      <c r="N712" s="402" t="s">
        <v>1112</v>
      </c>
      <c r="O712" s="411"/>
      <c r="P712" s="405" t="s">
        <v>2603</v>
      </c>
      <c r="Q712" s="405" t="s">
        <v>2604</v>
      </c>
      <c r="R712" s="407"/>
      <c r="S712" s="405"/>
      <c r="T712" s="405"/>
      <c r="U712" s="407"/>
      <c r="V712" s="408"/>
      <c r="W712" s="405"/>
      <c r="X712" s="406"/>
      <c r="Y712" s="379"/>
      <c r="Z712" s="379"/>
    </row>
    <row r="713" spans="1:26" ht="255">
      <c r="A713" s="400" t="s">
        <v>2605</v>
      </c>
      <c r="B713" s="401" t="s">
        <v>1414</v>
      </c>
      <c r="C713" s="402" t="s">
        <v>2606</v>
      </c>
      <c r="D713" s="403" t="s">
        <v>404</v>
      </c>
      <c r="E713" s="402">
        <v>50</v>
      </c>
      <c r="F713" s="402" t="s">
        <v>404</v>
      </c>
      <c r="G713" s="402" t="s">
        <v>404</v>
      </c>
      <c r="H713" s="402">
        <v>10</v>
      </c>
      <c r="I713" s="402">
        <v>10</v>
      </c>
      <c r="J713" s="402" t="s">
        <v>1123</v>
      </c>
      <c r="K713" s="402">
        <v>45</v>
      </c>
      <c r="L713" s="402" t="s">
        <v>1138</v>
      </c>
      <c r="M713" s="403" t="s">
        <v>419</v>
      </c>
      <c r="N713" s="402" t="s">
        <v>1112</v>
      </c>
      <c r="O713" s="411"/>
      <c r="P713" s="405" t="s">
        <v>2607</v>
      </c>
      <c r="Q713" s="405" t="s">
        <v>2608</v>
      </c>
      <c r="R713" s="407" t="s">
        <v>2609</v>
      </c>
      <c r="S713" s="405"/>
      <c r="T713" s="405"/>
      <c r="U713" s="407"/>
      <c r="V713" s="408"/>
      <c r="W713" s="405"/>
      <c r="X713" s="406"/>
      <c r="Y713" s="379"/>
      <c r="Z713" s="379"/>
    </row>
    <row r="714" spans="1:26" ht="20.399999999999999">
      <c r="A714" s="400" t="s">
        <v>2605</v>
      </c>
      <c r="B714" s="401" t="s">
        <v>1414</v>
      </c>
      <c r="C714" s="402" t="s">
        <v>2610</v>
      </c>
      <c r="D714" s="403">
        <v>75</v>
      </c>
      <c r="E714" s="402">
        <v>70</v>
      </c>
      <c r="F714" s="402">
        <v>60</v>
      </c>
      <c r="G714" s="402">
        <v>30</v>
      </c>
      <c r="H714" s="402">
        <v>4</v>
      </c>
      <c r="I714" s="402">
        <v>2</v>
      </c>
      <c r="J714" s="402" t="s">
        <v>1137</v>
      </c>
      <c r="K714" s="402">
        <v>40</v>
      </c>
      <c r="L714" s="402" t="s">
        <v>1145</v>
      </c>
      <c r="M714" s="403" t="s">
        <v>419</v>
      </c>
      <c r="N714" s="402" t="s">
        <v>1139</v>
      </c>
      <c r="O714" s="411"/>
      <c r="P714" s="405"/>
      <c r="Q714" s="405"/>
      <c r="R714" s="407"/>
      <c r="S714" s="405"/>
      <c r="T714" s="405"/>
      <c r="U714" s="407"/>
      <c r="V714" s="408"/>
      <c r="W714" s="405"/>
      <c r="X714" s="406"/>
      <c r="Y714" s="379"/>
      <c r="Z714" s="379"/>
    </row>
    <row r="715" spans="1:26" ht="153">
      <c r="A715" s="400" t="s">
        <v>2605</v>
      </c>
      <c r="B715" s="401" t="s">
        <v>1414</v>
      </c>
      <c r="C715" s="402" t="s">
        <v>2611</v>
      </c>
      <c r="D715" s="403">
        <v>75</v>
      </c>
      <c r="E715" s="402">
        <v>70</v>
      </c>
      <c r="F715" s="402">
        <v>60</v>
      </c>
      <c r="G715" s="402">
        <v>30</v>
      </c>
      <c r="H715" s="402">
        <v>8</v>
      </c>
      <c r="I715" s="402">
        <v>2</v>
      </c>
      <c r="J715" s="402" t="s">
        <v>1110</v>
      </c>
      <c r="K715" s="402">
        <v>40</v>
      </c>
      <c r="L715" s="402" t="s">
        <v>1124</v>
      </c>
      <c r="M715" s="403" t="s">
        <v>419</v>
      </c>
      <c r="N715" s="402" t="s">
        <v>1112</v>
      </c>
      <c r="O715" s="411"/>
      <c r="P715" s="405" t="s">
        <v>2612</v>
      </c>
      <c r="Q715" s="405"/>
      <c r="R715" s="407"/>
      <c r="S715" s="405"/>
      <c r="T715" s="405"/>
      <c r="U715" s="407"/>
      <c r="V715" s="408"/>
      <c r="W715" s="405"/>
      <c r="X715" s="406"/>
      <c r="Y715" s="379"/>
      <c r="Z715" s="379"/>
    </row>
    <row r="716" spans="1:26" ht="204">
      <c r="A716" s="400" t="s">
        <v>2605</v>
      </c>
      <c r="B716" s="401" t="s">
        <v>1414</v>
      </c>
      <c r="C716" s="402" t="s">
        <v>2613</v>
      </c>
      <c r="D716" s="403">
        <v>75</v>
      </c>
      <c r="E716" s="402">
        <v>70</v>
      </c>
      <c r="F716" s="402">
        <v>60</v>
      </c>
      <c r="G716" s="402">
        <v>30</v>
      </c>
      <c r="H716" s="402">
        <v>6</v>
      </c>
      <c r="I716" s="402">
        <v>2</v>
      </c>
      <c r="J716" s="402" t="s">
        <v>1110</v>
      </c>
      <c r="K716" s="402">
        <v>40</v>
      </c>
      <c r="L716" s="402" t="s">
        <v>1124</v>
      </c>
      <c r="M716" s="403" t="s">
        <v>419</v>
      </c>
      <c r="N716" s="402" t="s">
        <v>1112</v>
      </c>
      <c r="O716" s="411"/>
      <c r="P716" s="405" t="s">
        <v>2614</v>
      </c>
      <c r="Q716" s="407" t="s">
        <v>2615</v>
      </c>
      <c r="R716" s="407"/>
      <c r="S716" s="405"/>
      <c r="T716" s="405"/>
      <c r="U716" s="407"/>
      <c r="V716" s="408"/>
      <c r="W716" s="405"/>
      <c r="X716" s="406"/>
      <c r="Y716" s="379"/>
      <c r="Z716" s="379"/>
    </row>
    <row r="717" spans="1:26" ht="204">
      <c r="A717" s="400" t="s">
        <v>2605</v>
      </c>
      <c r="B717" s="401" t="s">
        <v>1414</v>
      </c>
      <c r="C717" s="402" t="s">
        <v>2616</v>
      </c>
      <c r="D717" s="403" t="s">
        <v>404</v>
      </c>
      <c r="E717" s="402" t="s">
        <v>404</v>
      </c>
      <c r="F717" s="402" t="s">
        <v>404</v>
      </c>
      <c r="G717" s="402" t="s">
        <v>404</v>
      </c>
      <c r="H717" s="402">
        <v>4</v>
      </c>
      <c r="I717" s="402" t="s">
        <v>404</v>
      </c>
      <c r="J717" s="402" t="s">
        <v>1137</v>
      </c>
      <c r="K717" s="402">
        <v>40</v>
      </c>
      <c r="L717" s="402" t="s">
        <v>1145</v>
      </c>
      <c r="M717" s="403" t="s">
        <v>420</v>
      </c>
      <c r="N717" s="402" t="s">
        <v>1112</v>
      </c>
      <c r="O717" s="411"/>
      <c r="P717" s="405" t="s">
        <v>1176</v>
      </c>
      <c r="Q717" s="407" t="s">
        <v>2617</v>
      </c>
      <c r="R717" s="408"/>
      <c r="S717" s="405"/>
      <c r="T717" s="405"/>
      <c r="U717" s="407"/>
      <c r="V717" s="408"/>
      <c r="W717" s="405"/>
      <c r="X717" s="406"/>
      <c r="Y717" s="379"/>
      <c r="Z717" s="379"/>
    </row>
    <row r="718" spans="1:26">
      <c r="A718" s="400" t="s">
        <v>2605</v>
      </c>
      <c r="B718" s="401" t="s">
        <v>1414</v>
      </c>
      <c r="C718" s="402" t="s">
        <v>2618</v>
      </c>
      <c r="D718" s="403">
        <v>75</v>
      </c>
      <c r="E718" s="402">
        <v>70</v>
      </c>
      <c r="F718" s="402">
        <v>60</v>
      </c>
      <c r="G718" s="402">
        <v>30</v>
      </c>
      <c r="H718" s="402">
        <v>4</v>
      </c>
      <c r="I718" s="402">
        <v>2</v>
      </c>
      <c r="J718" s="402" t="s">
        <v>1137</v>
      </c>
      <c r="K718" s="402">
        <v>40</v>
      </c>
      <c r="L718" s="402" t="s">
        <v>1138</v>
      </c>
      <c r="M718" s="403" t="s">
        <v>419</v>
      </c>
      <c r="N718" s="402" t="s">
        <v>1139</v>
      </c>
      <c r="O718" s="411"/>
      <c r="P718" s="405"/>
      <c r="Q718" s="405"/>
      <c r="R718" s="407"/>
      <c r="S718" s="405"/>
      <c r="T718" s="405"/>
      <c r="U718" s="407"/>
      <c r="V718" s="408"/>
      <c r="W718" s="405"/>
      <c r="X718" s="406"/>
      <c r="Y718" s="379"/>
      <c r="Z718" s="379"/>
    </row>
    <row r="719" spans="1:26">
      <c r="A719" s="400" t="s">
        <v>2605</v>
      </c>
      <c r="B719" s="401" t="s">
        <v>1414</v>
      </c>
      <c r="C719" s="402" t="s">
        <v>2619</v>
      </c>
      <c r="D719" s="403">
        <v>75</v>
      </c>
      <c r="E719" s="402">
        <v>70</v>
      </c>
      <c r="F719" s="402" t="s">
        <v>404</v>
      </c>
      <c r="G719" s="402" t="s">
        <v>404</v>
      </c>
      <c r="H719" s="402">
        <v>6</v>
      </c>
      <c r="I719" s="402">
        <v>2</v>
      </c>
      <c r="J719" s="402" t="s">
        <v>1137</v>
      </c>
      <c r="K719" s="402">
        <v>40</v>
      </c>
      <c r="L719" s="402" t="s">
        <v>1138</v>
      </c>
      <c r="M719" s="403" t="s">
        <v>419</v>
      </c>
      <c r="N719" s="402" t="s">
        <v>1112</v>
      </c>
      <c r="O719" s="411"/>
      <c r="P719" s="405"/>
      <c r="Q719" s="405"/>
      <c r="R719" s="407"/>
      <c r="S719" s="405"/>
      <c r="T719" s="405"/>
      <c r="U719" s="407"/>
      <c r="V719" s="408"/>
      <c r="W719" s="405"/>
      <c r="X719" s="406"/>
      <c r="Y719" s="379"/>
      <c r="Z719" s="379"/>
    </row>
    <row r="720" spans="1:26" ht="61.2">
      <c r="A720" s="400" t="s">
        <v>2605</v>
      </c>
      <c r="B720" s="401" t="s">
        <v>1414</v>
      </c>
      <c r="C720" s="402" t="s">
        <v>2620</v>
      </c>
      <c r="D720" s="403" t="s">
        <v>404</v>
      </c>
      <c r="E720" s="402" t="s">
        <v>404</v>
      </c>
      <c r="F720" s="402" t="s">
        <v>404</v>
      </c>
      <c r="G720" s="402" t="s">
        <v>404</v>
      </c>
      <c r="H720" s="402">
        <v>6</v>
      </c>
      <c r="I720" s="402" t="s">
        <v>404</v>
      </c>
      <c r="J720" s="402" t="s">
        <v>1123</v>
      </c>
      <c r="K720" s="402">
        <v>40</v>
      </c>
      <c r="L720" s="402" t="s">
        <v>1124</v>
      </c>
      <c r="M720" s="403" t="s">
        <v>420</v>
      </c>
      <c r="N720" s="402" t="s">
        <v>1112</v>
      </c>
      <c r="O720" s="411"/>
      <c r="P720" s="405" t="s">
        <v>2557</v>
      </c>
      <c r="Q720" s="405" t="s">
        <v>2558</v>
      </c>
      <c r="R720" s="407"/>
      <c r="S720" s="405"/>
      <c r="T720" s="405"/>
      <c r="U720" s="407"/>
      <c r="V720" s="408"/>
      <c r="W720" s="405"/>
      <c r="X720" s="406"/>
      <c r="Y720" s="379"/>
      <c r="Z720" s="379"/>
    </row>
    <row r="721" spans="1:26" ht="224.4">
      <c r="A721" s="400" t="s">
        <v>2605</v>
      </c>
      <c r="B721" s="401" t="s">
        <v>1414</v>
      </c>
      <c r="C721" s="402" t="s">
        <v>2621</v>
      </c>
      <c r="D721" s="403" t="s">
        <v>404</v>
      </c>
      <c r="E721" s="402">
        <v>50</v>
      </c>
      <c r="F721" s="402" t="s">
        <v>404</v>
      </c>
      <c r="G721" s="402" t="s">
        <v>404</v>
      </c>
      <c r="H721" s="402">
        <v>6</v>
      </c>
      <c r="I721" s="402">
        <v>6</v>
      </c>
      <c r="J721" s="402" t="s">
        <v>1123</v>
      </c>
      <c r="K721" s="402">
        <v>45</v>
      </c>
      <c r="L721" s="402" t="s">
        <v>404</v>
      </c>
      <c r="M721" s="403" t="s">
        <v>419</v>
      </c>
      <c r="N721" s="402" t="s">
        <v>1112</v>
      </c>
      <c r="O721" s="411"/>
      <c r="P721" s="405" t="s">
        <v>2622</v>
      </c>
      <c r="Q721" s="405" t="s">
        <v>2623</v>
      </c>
      <c r="R721" s="407" t="s">
        <v>2624</v>
      </c>
      <c r="S721" s="405"/>
      <c r="T721" s="405"/>
      <c r="U721" s="407"/>
      <c r="V721" s="408"/>
      <c r="W721" s="405"/>
      <c r="X721" s="406"/>
      <c r="Y721" s="379"/>
      <c r="Z721" s="379"/>
    </row>
    <row r="722" spans="1:26" ht="30.6">
      <c r="A722" s="400" t="s">
        <v>2625</v>
      </c>
      <c r="B722" s="401" t="s">
        <v>1414</v>
      </c>
      <c r="C722" s="402" t="s">
        <v>2626</v>
      </c>
      <c r="D722" s="403" t="s">
        <v>404</v>
      </c>
      <c r="E722" s="402" t="s">
        <v>404</v>
      </c>
      <c r="F722" s="402" t="s">
        <v>404</v>
      </c>
      <c r="G722" s="402" t="s">
        <v>404</v>
      </c>
      <c r="H722" s="402" t="s">
        <v>404</v>
      </c>
      <c r="I722" s="402" t="s">
        <v>404</v>
      </c>
      <c r="J722" s="402" t="s">
        <v>404</v>
      </c>
      <c r="K722" s="402" t="s">
        <v>404</v>
      </c>
      <c r="L722" s="402" t="s">
        <v>404</v>
      </c>
      <c r="M722" s="403" t="s">
        <v>404</v>
      </c>
      <c r="N722" s="402" t="s">
        <v>404</v>
      </c>
      <c r="O722" s="411"/>
      <c r="P722" s="405" t="s">
        <v>2627</v>
      </c>
      <c r="Q722" s="405"/>
      <c r="R722" s="407"/>
      <c r="S722" s="405"/>
      <c r="T722" s="405"/>
      <c r="U722" s="407"/>
      <c r="V722" s="408"/>
      <c r="W722" s="405"/>
      <c r="X722" s="406"/>
      <c r="Y722" s="379"/>
      <c r="Z722" s="379"/>
    </row>
    <row r="723" spans="1:26" ht="326.39999999999998">
      <c r="A723" s="400" t="s">
        <v>2625</v>
      </c>
      <c r="B723" s="401" t="s">
        <v>1414</v>
      </c>
      <c r="C723" s="402" t="s">
        <v>2628</v>
      </c>
      <c r="D723" s="403">
        <v>86</v>
      </c>
      <c r="E723" s="402">
        <v>40</v>
      </c>
      <c r="F723" s="402" t="s">
        <v>404</v>
      </c>
      <c r="G723" s="402" t="s">
        <v>404</v>
      </c>
      <c r="H723" s="402" t="s">
        <v>404</v>
      </c>
      <c r="I723" s="402" t="s">
        <v>1097</v>
      </c>
      <c r="J723" s="402" t="s">
        <v>1137</v>
      </c>
      <c r="K723" s="402">
        <v>45</v>
      </c>
      <c r="L723" s="402" t="s">
        <v>1138</v>
      </c>
      <c r="M723" s="403" t="s">
        <v>419</v>
      </c>
      <c r="N723" s="402" t="s">
        <v>1112</v>
      </c>
      <c r="O723" s="411"/>
      <c r="P723" s="405" t="s">
        <v>2629</v>
      </c>
      <c r="Q723" s="405" t="s">
        <v>2630</v>
      </c>
      <c r="R723" s="407" t="s">
        <v>2631</v>
      </c>
      <c r="S723" s="407" t="s">
        <v>2632</v>
      </c>
      <c r="T723" s="405"/>
      <c r="U723" s="407"/>
      <c r="V723" s="408"/>
      <c r="W723" s="405"/>
      <c r="X723" s="406"/>
      <c r="Y723" s="379"/>
      <c r="Z723" s="379"/>
    </row>
    <row r="724" spans="1:26" ht="234.6">
      <c r="A724" s="400" t="s">
        <v>2605</v>
      </c>
      <c r="B724" s="401" t="s">
        <v>1414</v>
      </c>
      <c r="C724" s="402" t="s">
        <v>2633</v>
      </c>
      <c r="D724" s="403">
        <v>77</v>
      </c>
      <c r="E724" s="402" t="s">
        <v>404</v>
      </c>
      <c r="F724" s="402" t="s">
        <v>404</v>
      </c>
      <c r="G724" s="402" t="s">
        <v>404</v>
      </c>
      <c r="H724" s="402" t="s">
        <v>404</v>
      </c>
      <c r="I724" s="402" t="s">
        <v>404</v>
      </c>
      <c r="J724" s="402" t="s">
        <v>1137</v>
      </c>
      <c r="K724" s="402">
        <v>45</v>
      </c>
      <c r="L724" s="402" t="s">
        <v>1138</v>
      </c>
      <c r="M724" s="403" t="s">
        <v>419</v>
      </c>
      <c r="N724" s="402" t="s">
        <v>1112</v>
      </c>
      <c r="O724" s="411"/>
      <c r="P724" s="405" t="s">
        <v>2634</v>
      </c>
      <c r="Q724" s="405" t="s">
        <v>2635</v>
      </c>
      <c r="R724" s="407" t="s">
        <v>2636</v>
      </c>
      <c r="S724" s="405"/>
      <c r="T724" s="405"/>
      <c r="U724" s="407"/>
      <c r="V724" s="445"/>
      <c r="W724" s="405"/>
      <c r="X724" s="406"/>
      <c r="Y724" s="379"/>
      <c r="Z724" s="379"/>
    </row>
    <row r="725" spans="1:26" ht="61.2">
      <c r="A725" s="400" t="s">
        <v>2605</v>
      </c>
      <c r="B725" s="401" t="s">
        <v>1414</v>
      </c>
      <c r="C725" s="402" t="s">
        <v>2637</v>
      </c>
      <c r="D725" s="403">
        <v>75</v>
      </c>
      <c r="E725" s="402">
        <v>70</v>
      </c>
      <c r="F725" s="402">
        <v>60</v>
      </c>
      <c r="G725" s="402">
        <v>30</v>
      </c>
      <c r="H725" s="402">
        <v>4</v>
      </c>
      <c r="I725" s="402">
        <v>2</v>
      </c>
      <c r="J725" s="402" t="s">
        <v>1137</v>
      </c>
      <c r="K725" s="402">
        <v>40</v>
      </c>
      <c r="L725" s="402" t="s">
        <v>1138</v>
      </c>
      <c r="M725" s="403" t="s">
        <v>419</v>
      </c>
      <c r="N725" s="402" t="s">
        <v>1112</v>
      </c>
      <c r="O725" s="411"/>
      <c r="P725" s="405" t="s">
        <v>2638</v>
      </c>
      <c r="Q725" s="405"/>
      <c r="R725" s="407"/>
      <c r="S725" s="405"/>
      <c r="T725" s="405"/>
      <c r="U725" s="407"/>
      <c r="V725" s="408"/>
      <c r="W725" s="405"/>
      <c r="X725" s="406"/>
      <c r="Y725" s="379"/>
      <c r="Z725" s="379"/>
    </row>
    <row r="726" spans="1:26" ht="153">
      <c r="A726" s="400" t="s">
        <v>2605</v>
      </c>
      <c r="B726" s="401" t="s">
        <v>1414</v>
      </c>
      <c r="C726" s="402" t="s">
        <v>2639</v>
      </c>
      <c r="D726" s="403">
        <v>80</v>
      </c>
      <c r="E726" s="402">
        <v>68</v>
      </c>
      <c r="F726" s="402" t="s">
        <v>404</v>
      </c>
      <c r="G726" s="402" t="s">
        <v>404</v>
      </c>
      <c r="H726" s="402">
        <v>6</v>
      </c>
      <c r="I726" s="402">
        <v>2</v>
      </c>
      <c r="J726" s="402" t="s">
        <v>1644</v>
      </c>
      <c r="K726" s="402">
        <v>45</v>
      </c>
      <c r="L726" s="402" t="s">
        <v>1124</v>
      </c>
      <c r="M726" s="403" t="s">
        <v>419</v>
      </c>
      <c r="N726" s="402" t="s">
        <v>1112</v>
      </c>
      <c r="O726" s="411"/>
      <c r="P726" s="405" t="s">
        <v>2640</v>
      </c>
      <c r="Q726" s="405" t="s">
        <v>2641</v>
      </c>
      <c r="R726" s="444" t="s">
        <v>2642</v>
      </c>
      <c r="S726" s="427" t="s">
        <v>2643</v>
      </c>
      <c r="T726" s="405"/>
      <c r="U726" s="444"/>
      <c r="V726" s="405"/>
      <c r="W726" s="405"/>
      <c r="X726" s="406"/>
      <c r="Y726" s="379"/>
      <c r="Z726" s="379"/>
    </row>
    <row r="727" spans="1:26" ht="40.799999999999997">
      <c r="A727" s="400" t="s">
        <v>2605</v>
      </c>
      <c r="B727" s="401" t="s">
        <v>1414</v>
      </c>
      <c r="C727" s="402" t="s">
        <v>2644</v>
      </c>
      <c r="D727" s="403" t="s">
        <v>404</v>
      </c>
      <c r="E727" s="402">
        <v>50</v>
      </c>
      <c r="F727" s="402" t="s">
        <v>404</v>
      </c>
      <c r="G727" s="402" t="s">
        <v>404</v>
      </c>
      <c r="H727" s="402" t="s">
        <v>404</v>
      </c>
      <c r="I727" s="402" t="s">
        <v>404</v>
      </c>
      <c r="J727" s="402" t="s">
        <v>404</v>
      </c>
      <c r="K727" s="402" t="s">
        <v>404</v>
      </c>
      <c r="L727" s="402" t="s">
        <v>404</v>
      </c>
      <c r="M727" s="403" t="s">
        <v>419</v>
      </c>
      <c r="N727" s="402" t="s">
        <v>404</v>
      </c>
      <c r="O727" s="411"/>
      <c r="P727" s="405" t="s">
        <v>2645</v>
      </c>
      <c r="Q727" s="405"/>
      <c r="R727" s="407"/>
      <c r="S727" s="405"/>
      <c r="T727" s="405"/>
      <c r="U727" s="407"/>
      <c r="V727" s="405"/>
      <c r="W727" s="405"/>
      <c r="X727" s="406"/>
      <c r="Y727" s="379"/>
      <c r="Z727" s="379"/>
    </row>
    <row r="728" spans="1:26">
      <c r="A728" s="400" t="s">
        <v>2605</v>
      </c>
      <c r="B728" s="401" t="s">
        <v>1414</v>
      </c>
      <c r="C728" s="402" t="s">
        <v>2646</v>
      </c>
      <c r="D728" s="403" t="s">
        <v>404</v>
      </c>
      <c r="E728" s="402" t="s">
        <v>404</v>
      </c>
      <c r="F728" s="402" t="s">
        <v>404</v>
      </c>
      <c r="G728" s="402" t="s">
        <v>404</v>
      </c>
      <c r="H728" s="402">
        <v>10</v>
      </c>
      <c r="I728" s="402" t="s">
        <v>404</v>
      </c>
      <c r="J728" s="402" t="s">
        <v>1123</v>
      </c>
      <c r="K728" s="402">
        <v>40</v>
      </c>
      <c r="L728" s="402" t="s">
        <v>1134</v>
      </c>
      <c r="M728" s="403" t="s">
        <v>420</v>
      </c>
      <c r="N728" s="402" t="s">
        <v>1112</v>
      </c>
      <c r="O728" s="411"/>
      <c r="P728" s="405"/>
      <c r="Q728" s="405"/>
      <c r="R728" s="407"/>
      <c r="S728" s="405"/>
      <c r="T728" s="405"/>
      <c r="U728" s="407"/>
      <c r="V728" s="405"/>
      <c r="W728" s="405"/>
      <c r="X728" s="406"/>
      <c r="Y728" s="379"/>
      <c r="Z728" s="379"/>
    </row>
    <row r="729" spans="1:26">
      <c r="A729" s="400" t="s">
        <v>2605</v>
      </c>
      <c r="B729" s="401" t="s">
        <v>1414</v>
      </c>
      <c r="C729" s="402" t="s">
        <v>1806</v>
      </c>
      <c r="D729" s="403" t="s">
        <v>404</v>
      </c>
      <c r="E729" s="402" t="s">
        <v>404</v>
      </c>
      <c r="F729" s="402" t="s">
        <v>404</v>
      </c>
      <c r="G729" s="402" t="s">
        <v>404</v>
      </c>
      <c r="H729" s="402">
        <v>6</v>
      </c>
      <c r="I729" s="402" t="s">
        <v>404</v>
      </c>
      <c r="J729" s="402" t="s">
        <v>1123</v>
      </c>
      <c r="K729" s="402">
        <v>40</v>
      </c>
      <c r="L729" s="402" t="s">
        <v>1134</v>
      </c>
      <c r="M729" s="403" t="s">
        <v>420</v>
      </c>
      <c r="N729" s="402" t="s">
        <v>1112</v>
      </c>
      <c r="O729" s="411"/>
      <c r="P729" s="405"/>
      <c r="Q729" s="405"/>
      <c r="R729" s="407"/>
      <c r="S729" s="405"/>
      <c r="T729" s="405"/>
      <c r="U729" s="407"/>
      <c r="V729" s="408"/>
      <c r="W729" s="405"/>
      <c r="X729" s="406"/>
      <c r="Y729" s="379"/>
      <c r="Z729" s="379"/>
    </row>
    <row r="730" spans="1:26">
      <c r="A730" s="400" t="s">
        <v>2605</v>
      </c>
      <c r="B730" s="401" t="s">
        <v>1414</v>
      </c>
      <c r="C730" s="402" t="s">
        <v>2283</v>
      </c>
      <c r="D730" s="403" t="s">
        <v>404</v>
      </c>
      <c r="E730" s="402" t="s">
        <v>404</v>
      </c>
      <c r="F730" s="402" t="s">
        <v>404</v>
      </c>
      <c r="G730" s="402" t="s">
        <v>404</v>
      </c>
      <c r="H730" s="402">
        <v>6</v>
      </c>
      <c r="I730" s="402" t="s">
        <v>404</v>
      </c>
      <c r="J730" s="402" t="s">
        <v>1123</v>
      </c>
      <c r="K730" s="402">
        <v>40</v>
      </c>
      <c r="L730" s="402" t="s">
        <v>1134</v>
      </c>
      <c r="M730" s="403" t="s">
        <v>420</v>
      </c>
      <c r="N730" s="402" t="s">
        <v>1112</v>
      </c>
      <c r="O730" s="411"/>
      <c r="P730" s="405"/>
      <c r="Q730" s="405"/>
      <c r="R730" s="407"/>
      <c r="S730" s="405"/>
      <c r="T730" s="405"/>
      <c r="U730" s="407"/>
      <c r="V730" s="458"/>
      <c r="W730" s="405"/>
      <c r="X730" s="406"/>
      <c r="Y730" s="379"/>
      <c r="Z730" s="379"/>
    </row>
    <row r="731" spans="1:26" ht="71.400000000000006">
      <c r="A731" s="400" t="s">
        <v>2605</v>
      </c>
      <c r="B731" s="401" t="s">
        <v>1414</v>
      </c>
      <c r="C731" s="402" t="s">
        <v>2647</v>
      </c>
      <c r="D731" s="403" t="s">
        <v>404</v>
      </c>
      <c r="E731" s="402">
        <v>60</v>
      </c>
      <c r="F731" s="402" t="s">
        <v>404</v>
      </c>
      <c r="G731" s="402" t="s">
        <v>404</v>
      </c>
      <c r="H731" s="402" t="s">
        <v>404</v>
      </c>
      <c r="I731" s="402" t="s">
        <v>404</v>
      </c>
      <c r="J731" s="402" t="s">
        <v>1137</v>
      </c>
      <c r="K731" s="402">
        <v>45</v>
      </c>
      <c r="L731" s="402" t="s">
        <v>1138</v>
      </c>
      <c r="M731" s="403" t="s">
        <v>419</v>
      </c>
      <c r="N731" s="402" t="s">
        <v>1112</v>
      </c>
      <c r="O731" s="411"/>
      <c r="P731" s="405" t="s">
        <v>2136</v>
      </c>
      <c r="Q731" s="405"/>
      <c r="R731" s="407"/>
      <c r="S731" s="405"/>
      <c r="T731" s="405"/>
      <c r="U731" s="407"/>
      <c r="V731" s="408"/>
      <c r="W731" s="405"/>
      <c r="X731" s="406"/>
      <c r="Y731" s="379"/>
      <c r="Z731" s="379"/>
    </row>
    <row r="732" spans="1:26" ht="173.4">
      <c r="A732" s="400" t="s">
        <v>2605</v>
      </c>
      <c r="B732" s="401" t="s">
        <v>1414</v>
      </c>
      <c r="C732" s="402" t="s">
        <v>2648</v>
      </c>
      <c r="D732" s="403" t="s">
        <v>404</v>
      </c>
      <c r="E732" s="402">
        <v>60</v>
      </c>
      <c r="F732" s="402" t="s">
        <v>404</v>
      </c>
      <c r="G732" s="402" t="s">
        <v>404</v>
      </c>
      <c r="H732" s="402" t="s">
        <v>154</v>
      </c>
      <c r="I732" s="424">
        <v>1</v>
      </c>
      <c r="J732" s="402" t="s">
        <v>1110</v>
      </c>
      <c r="K732" s="402">
        <v>50</v>
      </c>
      <c r="L732" s="402" t="s">
        <v>1124</v>
      </c>
      <c r="M732" s="403" t="s">
        <v>419</v>
      </c>
      <c r="N732" s="402" t="s">
        <v>1112</v>
      </c>
      <c r="O732" s="411"/>
      <c r="P732" s="405" t="s">
        <v>2649</v>
      </c>
      <c r="Q732" s="405" t="s">
        <v>2650</v>
      </c>
      <c r="R732" s="459" t="s">
        <v>1410</v>
      </c>
      <c r="S732" s="446"/>
      <c r="T732" s="405"/>
      <c r="U732" s="459"/>
      <c r="V732" s="408"/>
      <c r="W732" s="405"/>
      <c r="X732" s="406"/>
      <c r="Y732" s="379"/>
      <c r="Z732" s="379"/>
    </row>
    <row r="733" spans="1:26" ht="112.2">
      <c r="A733" s="400" t="s">
        <v>2651</v>
      </c>
      <c r="B733" s="401" t="s">
        <v>1414</v>
      </c>
      <c r="C733" s="402" t="s">
        <v>2652</v>
      </c>
      <c r="D733" s="403">
        <v>84</v>
      </c>
      <c r="E733" s="402">
        <v>50</v>
      </c>
      <c r="F733" s="402" t="s">
        <v>404</v>
      </c>
      <c r="G733" s="402" t="s">
        <v>404</v>
      </c>
      <c r="H733" s="402">
        <v>6</v>
      </c>
      <c r="I733" s="402">
        <v>2</v>
      </c>
      <c r="J733" s="402" t="s">
        <v>1137</v>
      </c>
      <c r="K733" s="402">
        <v>45</v>
      </c>
      <c r="L733" s="402" t="s">
        <v>1138</v>
      </c>
      <c r="M733" s="403" t="s">
        <v>419</v>
      </c>
      <c r="N733" s="402" t="s">
        <v>1112</v>
      </c>
      <c r="O733" s="411"/>
      <c r="P733" s="405" t="s">
        <v>2653</v>
      </c>
      <c r="Q733" s="405"/>
      <c r="R733" s="407"/>
      <c r="S733" s="405"/>
      <c r="T733" s="405"/>
      <c r="U733" s="407"/>
      <c r="V733" s="408"/>
      <c r="W733" s="405"/>
      <c r="X733" s="406"/>
      <c r="Y733" s="379"/>
      <c r="Z733" s="379"/>
    </row>
    <row r="734" spans="1:26" ht="275.39999999999998">
      <c r="A734" s="400" t="s">
        <v>2651</v>
      </c>
      <c r="B734" s="401" t="s">
        <v>1414</v>
      </c>
      <c r="C734" s="402" t="s">
        <v>2654</v>
      </c>
      <c r="D734" s="403">
        <v>86</v>
      </c>
      <c r="E734" s="402">
        <v>40</v>
      </c>
      <c r="F734" s="402" t="s">
        <v>404</v>
      </c>
      <c r="G734" s="402" t="s">
        <v>404</v>
      </c>
      <c r="H734" s="402">
        <v>6</v>
      </c>
      <c r="I734" s="402">
        <v>2</v>
      </c>
      <c r="J734" s="402" t="s">
        <v>1137</v>
      </c>
      <c r="K734" s="402">
        <v>45</v>
      </c>
      <c r="L734" s="402" t="s">
        <v>1138</v>
      </c>
      <c r="M734" s="403" t="s">
        <v>419</v>
      </c>
      <c r="N734" s="402" t="s">
        <v>1112</v>
      </c>
      <c r="O734" s="411"/>
      <c r="P734" s="405" t="s">
        <v>2655</v>
      </c>
      <c r="Q734" s="405" t="s">
        <v>2656</v>
      </c>
      <c r="R734" s="407" t="s">
        <v>2657</v>
      </c>
      <c r="S734" s="405"/>
      <c r="T734" s="405"/>
      <c r="U734" s="407"/>
      <c r="V734" s="408"/>
      <c r="W734" s="405"/>
      <c r="X734" s="406"/>
      <c r="Y734" s="379"/>
      <c r="Z734" s="379"/>
    </row>
    <row r="735" spans="1:26" ht="234.6">
      <c r="A735" s="400" t="s">
        <v>2651</v>
      </c>
      <c r="B735" s="401" t="s">
        <v>1414</v>
      </c>
      <c r="C735" s="402" t="s">
        <v>2658</v>
      </c>
      <c r="D735" s="403">
        <v>86</v>
      </c>
      <c r="E735" s="402">
        <v>40</v>
      </c>
      <c r="F735" s="402" t="s">
        <v>404</v>
      </c>
      <c r="G735" s="402" t="s">
        <v>404</v>
      </c>
      <c r="H735" s="402">
        <v>6</v>
      </c>
      <c r="I735" s="402" t="s">
        <v>404</v>
      </c>
      <c r="J735" s="402" t="s">
        <v>1137</v>
      </c>
      <c r="K735" s="402">
        <v>45</v>
      </c>
      <c r="L735" s="402" t="s">
        <v>1138</v>
      </c>
      <c r="M735" s="403" t="s">
        <v>419</v>
      </c>
      <c r="N735" s="402" t="s">
        <v>1112</v>
      </c>
      <c r="O735" s="411"/>
      <c r="P735" s="405" t="s">
        <v>1167</v>
      </c>
      <c r="Q735" s="405" t="s">
        <v>1168</v>
      </c>
      <c r="R735" s="407" t="s">
        <v>1169</v>
      </c>
      <c r="S735" s="405" t="s">
        <v>1170</v>
      </c>
      <c r="T735" s="405"/>
      <c r="U735" s="407"/>
      <c r="V735" s="408"/>
      <c r="W735" s="405"/>
      <c r="X735" s="406"/>
      <c r="Y735" s="379"/>
      <c r="Z735" s="379"/>
    </row>
    <row r="736" spans="1:26">
      <c r="A736" s="400" t="s">
        <v>2605</v>
      </c>
      <c r="B736" s="401" t="s">
        <v>1414</v>
      </c>
      <c r="C736" s="402" t="s">
        <v>2659</v>
      </c>
      <c r="D736" s="403">
        <v>75</v>
      </c>
      <c r="E736" s="402">
        <v>70</v>
      </c>
      <c r="F736" s="402">
        <v>60</v>
      </c>
      <c r="G736" s="402">
        <v>30</v>
      </c>
      <c r="H736" s="402">
        <v>8</v>
      </c>
      <c r="I736" s="402">
        <v>2</v>
      </c>
      <c r="J736" s="402" t="s">
        <v>1123</v>
      </c>
      <c r="K736" s="402">
        <v>40</v>
      </c>
      <c r="L736" s="402" t="s">
        <v>1124</v>
      </c>
      <c r="M736" s="403" t="s">
        <v>419</v>
      </c>
      <c r="N736" s="402" t="s">
        <v>1112</v>
      </c>
      <c r="O736" s="411"/>
      <c r="P736" s="405"/>
      <c r="Q736" s="405"/>
      <c r="R736" s="407"/>
      <c r="S736" s="405"/>
      <c r="T736" s="405"/>
      <c r="U736" s="407"/>
      <c r="V736" s="408"/>
      <c r="W736" s="405"/>
      <c r="X736" s="406"/>
      <c r="Y736" s="379"/>
      <c r="Z736" s="379"/>
    </row>
    <row r="737" spans="1:26">
      <c r="A737" s="400" t="s">
        <v>2605</v>
      </c>
      <c r="B737" s="401" t="s">
        <v>1414</v>
      </c>
      <c r="C737" s="402" t="s">
        <v>2660</v>
      </c>
      <c r="D737" s="403" t="s">
        <v>404</v>
      </c>
      <c r="E737" s="402" t="s">
        <v>404</v>
      </c>
      <c r="F737" s="402" t="s">
        <v>404</v>
      </c>
      <c r="G737" s="402" t="s">
        <v>404</v>
      </c>
      <c r="H737" s="402">
        <v>10</v>
      </c>
      <c r="I737" s="402" t="s">
        <v>404</v>
      </c>
      <c r="J737" s="402" t="s">
        <v>1123</v>
      </c>
      <c r="K737" s="402">
        <v>40</v>
      </c>
      <c r="L737" s="402" t="s">
        <v>1134</v>
      </c>
      <c r="M737" s="403" t="s">
        <v>420</v>
      </c>
      <c r="N737" s="402" t="s">
        <v>1112</v>
      </c>
      <c r="O737" s="411"/>
      <c r="P737" s="405"/>
      <c r="Q737" s="405"/>
      <c r="R737" s="407"/>
      <c r="S737" s="405"/>
      <c r="T737" s="405"/>
      <c r="U737" s="407"/>
      <c r="V737" s="408"/>
      <c r="W737" s="405"/>
      <c r="X737" s="406"/>
      <c r="Y737" s="379"/>
      <c r="Z737" s="379"/>
    </row>
    <row r="738" spans="1:26" ht="173.4">
      <c r="A738" s="400" t="s">
        <v>2605</v>
      </c>
      <c r="B738" s="401" t="s">
        <v>1414</v>
      </c>
      <c r="C738" s="402" t="s">
        <v>2661</v>
      </c>
      <c r="D738" s="403">
        <v>80</v>
      </c>
      <c r="E738" s="402">
        <v>40</v>
      </c>
      <c r="F738" s="402" t="s">
        <v>404</v>
      </c>
      <c r="G738" s="402" t="s">
        <v>404</v>
      </c>
      <c r="H738" s="402">
        <v>4</v>
      </c>
      <c r="I738" s="402" t="s">
        <v>404</v>
      </c>
      <c r="J738" s="402" t="s">
        <v>1137</v>
      </c>
      <c r="K738" s="402" t="s">
        <v>404</v>
      </c>
      <c r="L738" s="402" t="s">
        <v>1138</v>
      </c>
      <c r="M738" s="403" t="s">
        <v>419</v>
      </c>
      <c r="N738" s="402" t="s">
        <v>1112</v>
      </c>
      <c r="O738" s="411"/>
      <c r="P738" s="405" t="s">
        <v>2662</v>
      </c>
      <c r="Q738" s="405" t="s">
        <v>2663</v>
      </c>
      <c r="R738" s="407" t="s">
        <v>2664</v>
      </c>
      <c r="S738" s="405" t="s">
        <v>2665</v>
      </c>
      <c r="T738" s="405" t="s">
        <v>2666</v>
      </c>
      <c r="U738" s="407"/>
      <c r="V738" s="408"/>
      <c r="W738" s="405"/>
      <c r="X738" s="406"/>
      <c r="Y738" s="379"/>
      <c r="Z738" s="379"/>
    </row>
    <row r="739" spans="1:26" ht="91.8">
      <c r="A739" s="400" t="s">
        <v>2605</v>
      </c>
      <c r="B739" s="401" t="s">
        <v>1414</v>
      </c>
      <c r="C739" s="402" t="s">
        <v>2667</v>
      </c>
      <c r="D739" s="403" t="s">
        <v>404</v>
      </c>
      <c r="E739" s="402">
        <v>50</v>
      </c>
      <c r="F739" s="402" t="s">
        <v>404</v>
      </c>
      <c r="G739" s="402" t="s">
        <v>404</v>
      </c>
      <c r="H739" s="402">
        <v>10</v>
      </c>
      <c r="I739" s="402" t="s">
        <v>404</v>
      </c>
      <c r="J739" s="402" t="s">
        <v>1123</v>
      </c>
      <c r="K739" s="402">
        <v>40</v>
      </c>
      <c r="L739" s="402" t="s">
        <v>1134</v>
      </c>
      <c r="M739" s="403" t="s">
        <v>419</v>
      </c>
      <c r="N739" s="402" t="s">
        <v>1112</v>
      </c>
      <c r="O739" s="411"/>
      <c r="P739" s="405" t="s">
        <v>2668</v>
      </c>
      <c r="Q739" s="405" t="s">
        <v>2669</v>
      </c>
      <c r="R739" s="407"/>
      <c r="S739" s="405"/>
      <c r="T739" s="405"/>
      <c r="U739" s="407"/>
      <c r="V739" s="408"/>
      <c r="W739" s="405"/>
      <c r="X739" s="406"/>
      <c r="Y739" s="379"/>
      <c r="Z739" s="379"/>
    </row>
    <row r="740" spans="1:26" ht="142.80000000000001">
      <c r="A740" s="400" t="s">
        <v>2605</v>
      </c>
      <c r="B740" s="401" t="s">
        <v>1414</v>
      </c>
      <c r="C740" s="402" t="s">
        <v>2670</v>
      </c>
      <c r="D740" s="403" t="s">
        <v>404</v>
      </c>
      <c r="E740" s="402">
        <v>50</v>
      </c>
      <c r="F740" s="402" t="s">
        <v>404</v>
      </c>
      <c r="G740" s="402" t="s">
        <v>404</v>
      </c>
      <c r="H740" s="402" t="s">
        <v>404</v>
      </c>
      <c r="I740" s="402" t="s">
        <v>404</v>
      </c>
      <c r="J740" s="402" t="s">
        <v>404</v>
      </c>
      <c r="K740" s="402">
        <v>40</v>
      </c>
      <c r="L740" s="402" t="s">
        <v>1145</v>
      </c>
      <c r="M740" s="403" t="s">
        <v>419</v>
      </c>
      <c r="N740" s="402" t="s">
        <v>1112</v>
      </c>
      <c r="O740" s="411"/>
      <c r="P740" s="405" t="s">
        <v>1363</v>
      </c>
      <c r="Q740" s="405" t="s">
        <v>2671</v>
      </c>
      <c r="R740" s="407" t="s">
        <v>1365</v>
      </c>
      <c r="S740" s="405"/>
      <c r="T740" s="405"/>
      <c r="U740" s="407"/>
      <c r="V740" s="408"/>
      <c r="W740" s="405"/>
      <c r="X740" s="406"/>
      <c r="Y740" s="379"/>
      <c r="Z740" s="379"/>
    </row>
    <row r="741" spans="1:26" ht="244.8">
      <c r="A741" s="400" t="s">
        <v>2605</v>
      </c>
      <c r="B741" s="401" t="s">
        <v>1414</v>
      </c>
      <c r="C741" s="402" t="s">
        <v>2672</v>
      </c>
      <c r="D741" s="403" t="s">
        <v>404</v>
      </c>
      <c r="E741" s="402" t="s">
        <v>404</v>
      </c>
      <c r="F741" s="402" t="s">
        <v>404</v>
      </c>
      <c r="G741" s="402" t="s">
        <v>404</v>
      </c>
      <c r="H741" s="402" t="s">
        <v>404</v>
      </c>
      <c r="I741" s="402" t="s">
        <v>404</v>
      </c>
      <c r="J741" s="402" t="s">
        <v>404</v>
      </c>
      <c r="K741" s="402" t="s">
        <v>404</v>
      </c>
      <c r="L741" s="402" t="s">
        <v>404</v>
      </c>
      <c r="M741" s="403" t="s">
        <v>404</v>
      </c>
      <c r="N741" s="402" t="s">
        <v>404</v>
      </c>
      <c r="O741" s="411"/>
      <c r="P741" s="405" t="s">
        <v>2673</v>
      </c>
      <c r="Q741" s="405" t="s">
        <v>2674</v>
      </c>
      <c r="R741" s="407" t="s">
        <v>2675</v>
      </c>
      <c r="S741" s="405" t="s">
        <v>2676</v>
      </c>
      <c r="T741" s="405" t="s">
        <v>2677</v>
      </c>
      <c r="U741" s="407"/>
      <c r="V741" s="408"/>
      <c r="W741" s="405"/>
      <c r="X741" s="406"/>
      <c r="Y741" s="379"/>
      <c r="Z741" s="379"/>
    </row>
    <row r="742" spans="1:26" ht="122.4">
      <c r="A742" s="416" t="s">
        <v>2605</v>
      </c>
      <c r="B742" s="460" t="s">
        <v>1414</v>
      </c>
      <c r="C742" s="420" t="s">
        <v>2678</v>
      </c>
      <c r="D742" s="419">
        <v>80</v>
      </c>
      <c r="E742" s="420">
        <v>68</v>
      </c>
      <c r="F742" s="420">
        <v>60</v>
      </c>
      <c r="G742" s="420" t="s">
        <v>404</v>
      </c>
      <c r="H742" s="420">
        <v>4</v>
      </c>
      <c r="I742" s="420">
        <v>2</v>
      </c>
      <c r="J742" s="420" t="s">
        <v>1137</v>
      </c>
      <c r="K742" s="420">
        <v>45</v>
      </c>
      <c r="L742" s="420" t="s">
        <v>1138</v>
      </c>
      <c r="M742" s="419" t="s">
        <v>419</v>
      </c>
      <c r="N742" s="420" t="s">
        <v>1139</v>
      </c>
      <c r="O742" s="461"/>
      <c r="P742" s="427" t="s">
        <v>2679</v>
      </c>
      <c r="Q742" s="427" t="s">
        <v>2680</v>
      </c>
      <c r="R742" s="444"/>
      <c r="S742" s="427"/>
      <c r="T742" s="427"/>
      <c r="U742" s="444"/>
      <c r="V742" s="445"/>
      <c r="W742" s="427"/>
      <c r="X742" s="428"/>
      <c r="Y742" s="379"/>
      <c r="Z742" s="379"/>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8EB75-31EE-48E9-9F98-CF5C2E5F35E9}">
  <sheetPr codeName="Sheet20">
    <tabColor theme="9" tint="-0.249977111117893"/>
  </sheetPr>
  <dimension ref="C2:E6"/>
  <sheetViews>
    <sheetView workbookViewId="0">
      <selection activeCell="E12" sqref="E12"/>
    </sheetView>
  </sheetViews>
  <sheetFormatPr defaultRowHeight="13.2"/>
  <cols>
    <col min="3" max="3" width="9.88671875" bestFit="1" customWidth="1"/>
    <col min="4" max="4" width="17.21875" customWidth="1"/>
    <col min="5" max="5" width="45" customWidth="1"/>
  </cols>
  <sheetData>
    <row r="2" spans="3:5">
      <c r="C2" s="51" t="s">
        <v>1077</v>
      </c>
      <c r="D2" s="51" t="s">
        <v>49</v>
      </c>
      <c r="E2" s="51" t="s">
        <v>269</v>
      </c>
    </row>
    <row r="3" spans="3:5">
      <c r="C3" s="51" t="s">
        <v>2713</v>
      </c>
      <c r="D3" s="374">
        <v>170</v>
      </c>
      <c r="E3" s="51"/>
    </row>
    <row r="4" spans="3:5">
      <c r="C4" s="51"/>
      <c r="D4" s="374"/>
      <c r="E4" s="51"/>
    </row>
    <row r="5" spans="3:5">
      <c r="C5" s="51"/>
      <c r="D5" s="374"/>
      <c r="E5" s="51"/>
    </row>
    <row r="6" spans="3:5">
      <c r="C6" s="52">
        <f>SUBTOTAL(103,Exhaust_fan_schedule[EF TAG])</f>
        <v>1</v>
      </c>
      <c r="D6" s="375"/>
      <c r="E6" s="51">
        <f>SUBTOTAL(103,Exhaust_fan_schedule[NOTES])</f>
        <v>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17F4-9E76-4A3E-9F5B-C0E8FC049AC7}">
  <sheetPr codeName="Sheet19"/>
  <dimension ref="A1:H29"/>
  <sheetViews>
    <sheetView topLeftCell="D3" zoomScale="85" zoomScaleNormal="85" workbookViewId="0">
      <selection activeCell="G4" sqref="G4"/>
    </sheetView>
  </sheetViews>
  <sheetFormatPr defaultRowHeight="13.8"/>
  <cols>
    <col min="1" max="1" width="17.33203125" style="358" hidden="1" customWidth="1"/>
    <col min="2" max="3" width="22.44140625" style="358" hidden="1" customWidth="1"/>
    <col min="4" max="4" width="28.5546875" style="359" customWidth="1"/>
    <col min="5" max="5" width="29.21875" style="359" customWidth="1"/>
    <col min="6" max="6" width="27.109375" style="359" hidden="1" customWidth="1"/>
    <col min="7" max="7" width="160.6640625" style="359" customWidth="1"/>
    <col min="8" max="16384" width="8.88671875" style="358"/>
  </cols>
  <sheetData>
    <row r="1" spans="1:8" ht="20.399999999999999">
      <c r="A1" s="518" t="s">
        <v>931</v>
      </c>
      <c r="B1" s="518"/>
      <c r="C1" s="518"/>
      <c r="D1" s="518"/>
      <c r="E1" s="518"/>
      <c r="F1" s="518"/>
      <c r="G1" s="518"/>
      <c r="H1" s="518"/>
    </row>
    <row r="2" spans="1:8">
      <c r="A2" s="358" t="s">
        <v>932</v>
      </c>
      <c r="B2" s="358" t="s">
        <v>933</v>
      </c>
      <c r="C2" s="358" t="s">
        <v>934</v>
      </c>
      <c r="D2" s="359" t="s">
        <v>935</v>
      </c>
      <c r="E2" s="359" t="s">
        <v>936</v>
      </c>
      <c r="F2" s="359" t="s">
        <v>937</v>
      </c>
      <c r="G2" s="359" t="s">
        <v>938</v>
      </c>
    </row>
    <row r="3" spans="1:8" ht="158.4">
      <c r="A3" s="360" t="s">
        <v>939</v>
      </c>
      <c r="B3" s="360" t="s">
        <v>940</v>
      </c>
      <c r="C3" s="360" t="s">
        <v>941</v>
      </c>
      <c r="D3" s="361" t="s">
        <v>942</v>
      </c>
      <c r="E3" s="361" t="s">
        <v>943</v>
      </c>
      <c r="F3" s="361" t="s">
        <v>944</v>
      </c>
      <c r="G3" s="361" t="s">
        <v>945</v>
      </c>
    </row>
    <row r="4" spans="1:8" ht="244.8">
      <c r="A4" s="360" t="s">
        <v>939</v>
      </c>
      <c r="B4" s="360" t="s">
        <v>940</v>
      </c>
      <c r="C4" s="360" t="s">
        <v>192</v>
      </c>
      <c r="D4" s="361" t="s">
        <v>946</v>
      </c>
      <c r="E4" s="361" t="s">
        <v>947</v>
      </c>
      <c r="F4" s="361" t="s">
        <v>944</v>
      </c>
      <c r="G4" s="361" t="s">
        <v>948</v>
      </c>
    </row>
    <row r="5" spans="1:8" ht="28.8">
      <c r="A5" s="360" t="s">
        <v>939</v>
      </c>
      <c r="B5" s="360"/>
      <c r="C5" s="360"/>
      <c r="D5" s="361" t="s">
        <v>946</v>
      </c>
      <c r="E5" s="361" t="s">
        <v>949</v>
      </c>
      <c r="F5" s="361" t="s">
        <v>944</v>
      </c>
      <c r="G5" s="361" t="s">
        <v>950</v>
      </c>
    </row>
    <row r="6" spans="1:8" ht="43.2">
      <c r="A6" s="360" t="s">
        <v>939</v>
      </c>
      <c r="B6" s="360"/>
      <c r="C6" s="360"/>
      <c r="D6" s="361" t="s">
        <v>946</v>
      </c>
      <c r="E6" s="361" t="s">
        <v>951</v>
      </c>
      <c r="F6" s="361" t="s">
        <v>944</v>
      </c>
      <c r="G6" s="361" t="s">
        <v>952</v>
      </c>
    </row>
    <row r="7" spans="1:8" ht="28.8">
      <c r="A7" s="360"/>
      <c r="B7" s="360"/>
      <c r="C7" s="360"/>
      <c r="D7" s="361" t="s">
        <v>946</v>
      </c>
      <c r="E7" s="361" t="s">
        <v>953</v>
      </c>
      <c r="F7" s="361" t="s">
        <v>944</v>
      </c>
      <c r="G7" s="361" t="s">
        <v>954</v>
      </c>
    </row>
    <row r="8" spans="1:8" ht="43.2">
      <c r="A8" s="360"/>
      <c r="B8" s="360"/>
      <c r="C8" s="360"/>
      <c r="D8" s="361" t="s">
        <v>946</v>
      </c>
      <c r="E8" s="361" t="s">
        <v>955</v>
      </c>
      <c r="F8" s="361" t="s">
        <v>944</v>
      </c>
      <c r="G8" s="361" t="s">
        <v>956</v>
      </c>
    </row>
    <row r="9" spans="1:8" ht="86.4">
      <c r="A9" s="360" t="s">
        <v>957</v>
      </c>
      <c r="B9" s="360"/>
      <c r="C9" s="360"/>
      <c r="D9" s="361" t="s">
        <v>958</v>
      </c>
      <c r="E9" s="361" t="s">
        <v>959</v>
      </c>
      <c r="F9" s="361" t="s">
        <v>960</v>
      </c>
      <c r="G9" s="361" t="s">
        <v>961</v>
      </c>
    </row>
    <row r="10" spans="1:8" ht="259.2">
      <c r="A10" s="360" t="s">
        <v>957</v>
      </c>
      <c r="B10" s="360"/>
      <c r="C10" s="360"/>
      <c r="D10" s="361" t="s">
        <v>958</v>
      </c>
      <c r="E10" s="361" t="s">
        <v>962</v>
      </c>
      <c r="F10" s="361" t="s">
        <v>963</v>
      </c>
      <c r="G10" s="361" t="s">
        <v>964</v>
      </c>
    </row>
    <row r="11" spans="1:8" ht="57.6">
      <c r="A11" s="360" t="s">
        <v>957</v>
      </c>
      <c r="B11" s="360"/>
      <c r="C11" s="360"/>
      <c r="D11" s="361" t="s">
        <v>965</v>
      </c>
      <c r="E11" s="361" t="s">
        <v>966</v>
      </c>
      <c r="F11" s="361" t="s">
        <v>967</v>
      </c>
      <c r="G11" s="361" t="s">
        <v>968</v>
      </c>
    </row>
    <row r="12" spans="1:8" ht="86.4">
      <c r="A12" s="360" t="s">
        <v>957</v>
      </c>
      <c r="B12" s="360"/>
      <c r="C12" s="360"/>
      <c r="D12" s="361" t="s">
        <v>965</v>
      </c>
      <c r="E12" s="361" t="s">
        <v>969</v>
      </c>
      <c r="F12" s="361" t="s">
        <v>960</v>
      </c>
      <c r="G12" s="361" t="s">
        <v>970</v>
      </c>
    </row>
    <row r="13" spans="1:8" ht="259.2">
      <c r="A13" s="360" t="s">
        <v>971</v>
      </c>
      <c r="B13" s="360"/>
      <c r="C13" s="360"/>
      <c r="D13" s="361" t="s">
        <v>972</v>
      </c>
      <c r="E13" s="361" t="s">
        <v>973</v>
      </c>
      <c r="F13" s="361"/>
      <c r="G13" s="361" t="s">
        <v>974</v>
      </c>
    </row>
    <row r="14" spans="1:8" ht="273.60000000000002">
      <c r="A14" s="360" t="s">
        <v>971</v>
      </c>
      <c r="B14" s="360"/>
      <c r="C14" s="360"/>
      <c r="D14" s="361" t="s">
        <v>972</v>
      </c>
      <c r="E14" s="361" t="s">
        <v>975</v>
      </c>
      <c r="F14" s="361"/>
      <c r="G14" s="361" t="s">
        <v>976</v>
      </c>
    </row>
    <row r="15" spans="1:8" ht="57.6">
      <c r="A15" s="360" t="s">
        <v>957</v>
      </c>
      <c r="B15" s="360"/>
      <c r="C15" s="360"/>
      <c r="D15" s="361" t="s">
        <v>977</v>
      </c>
      <c r="E15" s="361" t="s">
        <v>978</v>
      </c>
      <c r="F15" s="361" t="s">
        <v>967</v>
      </c>
      <c r="G15" s="361" t="s">
        <v>979</v>
      </c>
    </row>
    <row r="16" spans="1:8" ht="86.4">
      <c r="A16" s="360" t="s">
        <v>957</v>
      </c>
      <c r="B16" s="360"/>
      <c r="C16" s="360"/>
      <c r="D16" s="361" t="s">
        <v>977</v>
      </c>
      <c r="E16" s="361" t="s">
        <v>980</v>
      </c>
      <c r="F16" s="361" t="s">
        <v>960</v>
      </c>
      <c r="G16" s="361" t="s">
        <v>981</v>
      </c>
    </row>
    <row r="17" spans="1:7" ht="115.2">
      <c r="A17" s="360" t="s">
        <v>971</v>
      </c>
      <c r="B17" s="360"/>
      <c r="C17" s="360"/>
      <c r="D17" s="361" t="s">
        <v>972</v>
      </c>
      <c r="E17" s="361" t="s">
        <v>982</v>
      </c>
      <c r="F17" s="361"/>
      <c r="G17" s="361" t="s">
        <v>983</v>
      </c>
    </row>
    <row r="18" spans="1:7" ht="144">
      <c r="A18" s="360" t="s">
        <v>971</v>
      </c>
      <c r="B18" s="360"/>
      <c r="C18" s="360"/>
      <c r="D18" s="361" t="s">
        <v>972</v>
      </c>
      <c r="E18" s="361" t="s">
        <v>984</v>
      </c>
      <c r="F18" s="361"/>
      <c r="G18" s="361" t="s">
        <v>985</v>
      </c>
    </row>
    <row r="19" spans="1:7" ht="43.2">
      <c r="A19" s="360" t="s">
        <v>986</v>
      </c>
      <c r="B19" s="360"/>
      <c r="C19" s="360"/>
      <c r="D19" s="361" t="s">
        <v>987</v>
      </c>
      <c r="E19" s="361" t="s">
        <v>988</v>
      </c>
      <c r="F19" s="361"/>
      <c r="G19" s="361" t="s">
        <v>989</v>
      </c>
    </row>
    <row r="20" spans="1:7" ht="316.8">
      <c r="A20" s="360" t="s">
        <v>990</v>
      </c>
      <c r="B20" s="360"/>
      <c r="C20" s="360"/>
      <c r="D20" s="361" t="s">
        <v>991</v>
      </c>
      <c r="E20" s="361" t="s">
        <v>992</v>
      </c>
      <c r="F20" s="361"/>
      <c r="G20" s="361" t="s">
        <v>993</v>
      </c>
    </row>
    <row r="21" spans="1:7" ht="201.6">
      <c r="A21" s="360" t="s">
        <v>994</v>
      </c>
      <c r="B21" s="360"/>
      <c r="C21" s="360"/>
      <c r="D21" s="361" t="s">
        <v>995</v>
      </c>
      <c r="E21" s="361" t="s">
        <v>996</v>
      </c>
      <c r="F21" s="361"/>
      <c r="G21" s="361" t="s">
        <v>997</v>
      </c>
    </row>
    <row r="22" spans="1:7" ht="129.6">
      <c r="A22" s="360" t="s">
        <v>994</v>
      </c>
      <c r="B22" s="360"/>
      <c r="C22" s="360"/>
      <c r="D22" s="361" t="s">
        <v>998</v>
      </c>
      <c r="E22" s="361" t="s">
        <v>999</v>
      </c>
      <c r="F22" s="361"/>
      <c r="G22" s="361" t="s">
        <v>1000</v>
      </c>
    </row>
    <row r="23" spans="1:7" ht="14.4">
      <c r="A23" s="360" t="s">
        <v>994</v>
      </c>
      <c r="B23" s="360"/>
      <c r="C23" s="360"/>
      <c r="D23" s="361" t="s">
        <v>998</v>
      </c>
      <c r="E23" s="361" t="s">
        <v>1001</v>
      </c>
      <c r="F23" s="361"/>
      <c r="G23" s="361" t="s">
        <v>1002</v>
      </c>
    </row>
    <row r="24" spans="1:7" ht="14.4">
      <c r="A24" s="360" t="s">
        <v>994</v>
      </c>
      <c r="B24" s="360"/>
      <c r="C24" s="360"/>
      <c r="D24" s="361" t="s">
        <v>998</v>
      </c>
      <c r="E24" s="361" t="s">
        <v>1003</v>
      </c>
      <c r="F24" s="361"/>
      <c r="G24" s="361" t="s">
        <v>1004</v>
      </c>
    </row>
    <row r="25" spans="1:7" ht="172.8">
      <c r="A25" s="360" t="s">
        <v>1005</v>
      </c>
      <c r="B25" s="360"/>
      <c r="C25" s="360"/>
      <c r="D25" s="361"/>
      <c r="E25" s="361" t="s">
        <v>1006</v>
      </c>
      <c r="F25" s="361"/>
      <c r="G25" s="361" t="s">
        <v>1007</v>
      </c>
    </row>
    <row r="26" spans="1:7" ht="158.4">
      <c r="A26" s="360" t="s">
        <v>1008</v>
      </c>
      <c r="B26" s="360"/>
      <c r="C26" s="360"/>
      <c r="D26" s="361"/>
      <c r="E26" s="361" t="s">
        <v>1009</v>
      </c>
      <c r="F26" s="361"/>
      <c r="G26" s="361" t="s">
        <v>1010</v>
      </c>
    </row>
    <row r="27" spans="1:7" ht="28.8">
      <c r="A27" s="360" t="s">
        <v>939</v>
      </c>
      <c r="B27" s="360"/>
      <c r="C27" s="360"/>
      <c r="D27" s="361" t="s">
        <v>1011</v>
      </c>
      <c r="E27" s="361" t="s">
        <v>1012</v>
      </c>
      <c r="F27" s="361"/>
      <c r="G27" s="361"/>
    </row>
    <row r="28" spans="1:7" ht="72">
      <c r="A28" s="360" t="s">
        <v>939</v>
      </c>
      <c r="B28" s="360"/>
      <c r="C28" s="360"/>
      <c r="D28" s="361" t="s">
        <v>1013</v>
      </c>
      <c r="E28" s="361" t="s">
        <v>1014</v>
      </c>
      <c r="F28" s="361"/>
      <c r="G28" s="361" t="s">
        <v>1015</v>
      </c>
    </row>
    <row r="29" spans="1:7" ht="230.4">
      <c r="A29" s="360" t="s">
        <v>939</v>
      </c>
      <c r="B29" s="360"/>
      <c r="C29" s="360"/>
      <c r="D29" s="361" t="s">
        <v>1016</v>
      </c>
      <c r="E29" s="361" t="s">
        <v>1017</v>
      </c>
      <c r="F29" s="361"/>
      <c r="G29" s="361" t="s">
        <v>1018</v>
      </c>
    </row>
  </sheetData>
  <mergeCells count="1">
    <mergeCell ref="A1:H1"/>
  </mergeCell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28042-962F-4797-870E-F4D0B58FB803}">
  <sheetPr codeName="Sheet18"/>
  <dimension ref="B1:F40"/>
  <sheetViews>
    <sheetView workbookViewId="0">
      <selection activeCell="B8" sqref="B8:B9"/>
    </sheetView>
  </sheetViews>
  <sheetFormatPr defaultRowHeight="13.2"/>
  <cols>
    <col min="2" max="2" width="12.21875" bestFit="1" customWidth="1"/>
    <col min="3" max="3" width="67.88671875" customWidth="1"/>
    <col min="4" max="4" width="15.109375" bestFit="1" customWidth="1"/>
    <col min="6" max="6" width="28.44140625" bestFit="1" customWidth="1"/>
  </cols>
  <sheetData>
    <row r="1" spans="2:6">
      <c r="B1" s="11"/>
    </row>
    <row r="2" spans="2:6">
      <c r="B2" s="11" t="s">
        <v>1057</v>
      </c>
    </row>
    <row r="4" spans="2:6">
      <c r="C4" s="11" t="s">
        <v>1054</v>
      </c>
      <c r="D4" s="11" t="s">
        <v>1053</v>
      </c>
      <c r="E4" s="11" t="s">
        <v>49</v>
      </c>
      <c r="F4" s="11" t="s">
        <v>1055</v>
      </c>
    </row>
    <row r="5" spans="2:6">
      <c r="C5" t="s">
        <v>1020</v>
      </c>
      <c r="D5" t="s">
        <v>108</v>
      </c>
    </row>
    <row r="20" spans="2:6">
      <c r="C20" t="s">
        <v>74</v>
      </c>
      <c r="F20">
        <f>SUBTOTAL(109,HCAI_SUPPLY_FAN_POWER[ALLOWANCE (WATTS/CFM)])</f>
        <v>0</v>
      </c>
    </row>
    <row r="22" spans="2:6">
      <c r="B22" s="11" t="s">
        <v>161</v>
      </c>
    </row>
    <row r="24" spans="2:6">
      <c r="C24" s="11" t="s">
        <v>1054</v>
      </c>
      <c r="D24" s="11" t="s">
        <v>1053</v>
      </c>
      <c r="E24" s="11" t="s">
        <v>49</v>
      </c>
      <c r="F24" s="11" t="s">
        <v>1055</v>
      </c>
    </row>
    <row r="25" spans="2:6">
      <c r="C25" t="s">
        <v>1020</v>
      </c>
      <c r="D25" t="s">
        <v>108</v>
      </c>
    </row>
    <row r="40" spans="3:6">
      <c r="C40" t="s">
        <v>74</v>
      </c>
      <c r="F40">
        <f>SUBTOTAL(109,HCAI_FAN_POWER30[ALLOWANCE (WATTS/CFM)])</f>
        <v>0</v>
      </c>
    </row>
  </sheetData>
  <phoneticPr fontId="13"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C1E2B90-4C2B-4BB5-A1F2-2039FD45E15D}">
          <x14:formula1>
            <xm:f>'UMC Table 4-A'!$M$2:$M$28</xm:f>
          </x14:formula1>
          <xm:sqref>C5:C19 C25:C39</xm:sqref>
        </x14:dataValidation>
        <x14:dataValidation type="list" allowBlank="1" showInputMessage="1" showErrorMessage="1" xr:uid="{72007740-DD67-45AB-9279-5D312B4124BC}">
          <x14:formula1>
            <xm:f>'UMC Table 4-A'!$U$2:$U$3</xm:f>
          </x14:formula1>
          <xm:sqref>D5:D19 D25:D39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067A3-ADCA-4DFC-9972-0D76EACE510E}">
  <sheetPr codeName="Sheet1"/>
  <dimension ref="A1:AD18"/>
  <sheetViews>
    <sheetView showGridLines="0" tabSelected="1" zoomScale="85" zoomScaleNormal="85" workbookViewId="0">
      <selection activeCell="I24" sqref="I24"/>
    </sheetView>
  </sheetViews>
  <sheetFormatPr defaultRowHeight="13.2"/>
  <cols>
    <col min="1" max="1" width="13.88671875" customWidth="1"/>
    <col min="2" max="2" width="20.77734375" customWidth="1"/>
    <col min="3" max="3" width="11.109375" bestFit="1" customWidth="1"/>
    <col min="4" max="4" width="16.33203125" bestFit="1" customWidth="1"/>
    <col min="5" max="5" width="15.6640625" customWidth="1"/>
    <col min="6" max="7" width="16.6640625" customWidth="1"/>
    <col min="8" max="8" width="13.5546875" bestFit="1" customWidth="1"/>
    <col min="9" max="9" width="45.6640625" customWidth="1"/>
    <col min="10" max="10" width="45.21875" customWidth="1"/>
    <col min="11" max="11" width="58.6640625" bestFit="1" customWidth="1"/>
    <col min="12" max="12" width="18.44140625" customWidth="1"/>
    <col min="13" max="13" width="16.44140625" bestFit="1" customWidth="1"/>
    <col min="14" max="14" width="15.6640625" bestFit="1" customWidth="1"/>
    <col min="15" max="15" width="14.5546875" customWidth="1"/>
    <col min="16" max="16" width="15.5546875" bestFit="1" customWidth="1"/>
    <col min="17" max="17" width="9" bestFit="1" customWidth="1"/>
    <col min="18" max="18" width="10.3320312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15.44140625" customWidth="1"/>
    <col min="28" max="28" width="14.21875" customWidth="1"/>
    <col min="29" max="29" width="21.44140625" customWidth="1"/>
    <col min="30" max="30" width="15.109375" customWidth="1"/>
  </cols>
  <sheetData>
    <row r="1" spans="1:30" ht="17.399999999999999">
      <c r="Q1" s="505" t="s">
        <v>880</v>
      </c>
      <c r="R1" s="505"/>
      <c r="S1" s="505"/>
      <c r="T1" s="294">
        <v>0</v>
      </c>
    </row>
    <row r="4" spans="1:30">
      <c r="A4" s="519" t="s">
        <v>748</v>
      </c>
      <c r="B4" s="520"/>
      <c r="C4" s="520"/>
      <c r="D4" s="520"/>
      <c r="E4" s="520"/>
      <c r="F4" s="520"/>
      <c r="G4" s="520"/>
      <c r="H4" s="520"/>
      <c r="I4" s="519" t="s">
        <v>76</v>
      </c>
      <c r="J4" s="519"/>
      <c r="K4" s="519"/>
      <c r="L4" s="519"/>
      <c r="M4" s="519"/>
      <c r="N4" s="519"/>
      <c r="O4" s="519"/>
      <c r="P4" s="519"/>
      <c r="Q4" s="519"/>
      <c r="R4" s="519"/>
      <c r="S4" s="519"/>
      <c r="T4" s="519"/>
      <c r="U4" s="519"/>
      <c r="V4" s="519"/>
      <c r="W4" s="519"/>
      <c r="X4" s="519"/>
      <c r="Y4" s="519" t="s">
        <v>253</v>
      </c>
      <c r="Z4" s="519"/>
      <c r="AA4" s="519"/>
      <c r="AB4" s="519"/>
    </row>
    <row r="5" spans="1:30" s="11" customFormat="1" ht="46.8">
      <c r="A5" s="64" t="s">
        <v>78</v>
      </c>
      <c r="B5" s="64" t="s">
        <v>1078</v>
      </c>
      <c r="C5" s="63" t="s">
        <v>79</v>
      </c>
      <c r="D5" s="64" t="s">
        <v>254</v>
      </c>
      <c r="E5" s="282" t="s">
        <v>732</v>
      </c>
      <c r="F5" s="64" t="s">
        <v>81</v>
      </c>
      <c r="G5" s="64" t="s">
        <v>82</v>
      </c>
      <c r="H5" s="297" t="s">
        <v>879</v>
      </c>
      <c r="I5" s="297" t="s">
        <v>878</v>
      </c>
      <c r="J5" s="65" t="s">
        <v>21</v>
      </c>
      <c r="K5" s="64" t="s">
        <v>83</v>
      </c>
      <c r="L5" s="64" t="s">
        <v>24</v>
      </c>
      <c r="M5" s="64" t="s">
        <v>25</v>
      </c>
      <c r="N5" s="64" t="s">
        <v>26</v>
      </c>
      <c r="O5" s="64" t="s">
        <v>27</v>
      </c>
      <c r="P5" s="65" t="s">
        <v>255</v>
      </c>
      <c r="Q5" s="66" t="s">
        <v>256</v>
      </c>
      <c r="R5" s="66" t="s">
        <v>257</v>
      </c>
      <c r="S5" s="66" t="s">
        <v>258</v>
      </c>
      <c r="T5" s="66" t="s">
        <v>33</v>
      </c>
      <c r="U5" s="76" t="s">
        <v>739</v>
      </c>
      <c r="V5" s="76" t="s">
        <v>734</v>
      </c>
      <c r="W5" s="65" t="s">
        <v>36</v>
      </c>
      <c r="X5" s="65" t="s">
        <v>37</v>
      </c>
      <c r="Y5" s="64" t="s">
        <v>38</v>
      </c>
      <c r="Z5" s="66" t="s">
        <v>259</v>
      </c>
      <c r="AA5" s="66" t="s">
        <v>260</v>
      </c>
      <c r="AB5" s="64" t="s">
        <v>672</v>
      </c>
      <c r="AC5" s="67" t="s">
        <v>40</v>
      </c>
      <c r="AD5" s="68" t="s">
        <v>93</v>
      </c>
    </row>
    <row r="6" spans="1:30" ht="15.6">
      <c r="A6" s="92">
        <v>566</v>
      </c>
      <c r="B6" s="92"/>
      <c r="C6" s="92" t="s">
        <v>747</v>
      </c>
      <c r="D6" s="92">
        <v>73</v>
      </c>
      <c r="E6" s="92">
        <v>-60</v>
      </c>
      <c r="F6" s="92">
        <v>1</v>
      </c>
      <c r="G6" s="111">
        <f>IF((VLOOKUP(Ahu_Ashrae_sheet[[#This Row],[Occupancy Category]],Ashrae90.1Vent[#All],7,FALSE)) = "YES",MROUND(D6/2,5),MROUND(D6,5))</f>
        <v>35</v>
      </c>
      <c r="H6" s="92">
        <v>20</v>
      </c>
      <c r="I6" s="92">
        <v>43</v>
      </c>
      <c r="J6" s="92" t="s">
        <v>348</v>
      </c>
      <c r="K6" s="92" t="s">
        <v>100</v>
      </c>
      <c r="L6" s="94">
        <f>VLOOKUP(Ahu_Ashrae_sheet[[#This Row],[Occupancy Category]],Ashrae90.1Vent[#All],2,FALSE)</f>
        <v>0</v>
      </c>
      <c r="M6" s="94">
        <f>VLOOKUP(Ahu_Ashrae_sheet[[#This Row],[Occupancy Category]],Ashrae90.1Vent[#All],3,FALSE)</f>
        <v>0</v>
      </c>
      <c r="N6" s="94">
        <f>VLOOKUP(Ahu_Ashrae_sheet[[#This Row],[Occupancy Category]],Ashrae90.1Vent[#All],4,FALSE)</f>
        <v>0</v>
      </c>
      <c r="O6" s="94">
        <f>VLOOKUP(Ahu_Ashrae_sheet[[#This Row],[Occupancy Category]],Ashrae90.1Vent[#All],5,FALSE)</f>
        <v>2</v>
      </c>
      <c r="P6" s="94">
        <f>CEILING((N6/1000)*D6,1)</f>
        <v>0</v>
      </c>
      <c r="Q6" s="95">
        <f>(Ahu_Ashrae_sheet[[#This Row],[RP
(CFM/PER PERSON)]]*Ahu_Ashrae_sheet[[#This Row],[Occupants]])+(Ahu_Ashrae_sheet[[#This Row],[RA
(CFM/FT²)]]*Ahu_Ashrae_sheet[[#This Row],[AREA 
(FT²)]])</f>
        <v>0</v>
      </c>
      <c r="R6" s="138">
        <v>0.8</v>
      </c>
      <c r="S6" s="95">
        <f>Q6/R6</f>
        <v>0</v>
      </c>
      <c r="T6" s="95">
        <f>Ahu_Ashrae_sheet[[#This Row],[Voz]]</f>
        <v>0</v>
      </c>
      <c r="U6" s="139">
        <v>0</v>
      </c>
      <c r="V6" s="95" t="str">
        <f>IF(Ahu_Ashrae_sheet[[#This Row],[Exhaust Category]] = "NOT APPLICABLE","NR","YES")</f>
        <v>YES</v>
      </c>
      <c r="W6" s="95">
        <f>IF(Ahu_Ashrae_sheet[[#This Row],[Exhaust Category]]="NOT APPLICABLE","NA",VLOOKUP(Ahu_Ashrae_sheet[[#This Row],[Exhaust Category]],ASHRAE_EA_Table[#All],2,FALSE))</f>
        <v>70</v>
      </c>
      <c r="X6" s="95">
        <f>IF(Ahu_Ashrae_sheet[[#This Row],[Exhaust Category]]="NOT APPLICABLE","NA",VLOOKUP(Ahu_Ashrae_sheet[[#This Row],[Exhaust Category]],ASHRAE_EA_Table[#All],3,FALSE))</f>
        <v>0</v>
      </c>
      <c r="Y6" s="94">
        <f>Ahu_Ashrae_sheet[[#This Row],[Misc Exhaust From Room]]+(IFERROR(IF(Ahu_Ashrae_sheet[[#This Row],[EA RATE
(CFM/UNIT)]]=0&amp;Ahu_Ashrae_sheet[[#This Row],[EA RATE
(CFM/FT²)]]=0,0,IF(Ahu_Ashrae_sheet[[#This Row],[EA RATE
(CFM/UNIT)]]=0,Ahu_Ashrae_sheet[[#This Row],[EA RATE
(CFM/FT²)]]*Ahu_Ashrae_sheet[[#This Row],[AREA 
(FT²)]],Ahu_Ashrae_sheet[[#This Row],[Exhaust Units]]*Ahu_Ashrae_sheet[[#This Row],[EA RATE
(CFM/UNIT)]])),0))</f>
        <v>70</v>
      </c>
      <c r="Z6" s="139" cm="1">
        <f t="array" aca="1" ref="Z6" ca="1">supplyair(Ahu_Ashrae_sheet[[#This Row],[COOLING LOAD (CFM)]],Ahu_Ashrae_sheet[[#This Row],[OFFICE STANDARD 
(CFM)]],Ahu_Ashrae_sheet[[#This Row],[OFFICE STANDARD 
(CFM)]],Ahu_Ashrae_sheet[[#This Row],[Desired Room Balance]],Ahu_Ashrae_sheet[[#This Row],[Exhausted?]],Ahu_Ashrae_sheet[[#This Row],[MIN ASHRAE EA
(CFM)]],Ahu_Ashrae_sheet[[#This Row],[Misc Exhaust From Room]],Ahu_Ashrae_sheet[[#This Row],[OUTSIDE AIRFLOW (CFM) (Vot)]])</f>
        <v>60</v>
      </c>
      <c r="AA6" s="139" cm="1">
        <f t="array" aca="1" ref="AA6" ca="1">Returnair(Ahu_Ashrae_sheet[[#This Row],[DESIGN SA(CFM)]],Ahu_Ashrae_sheet[[#This Row],[Desired Room Balance]],Ahu_Ashrae_sheet[[#This Row],[Exhausted?]],Ahu_Ashrae_sheet[[#This Row],[Misc Exhaust From Room]])</f>
        <v>0</v>
      </c>
      <c r="AB6" s="139" cm="1">
        <f t="array" aca="1" ref="AB6" ca="1">Exhaustair(Ahu_Ashrae_sheet[[#This Row],[DESIGN SA(CFM)]],Ahu_Ashrae_sheet[[#This Row],[Exhausted?]],Ahu_Ashrae_sheet[[#This Row],[MIN ASHRAE EA
(CFM)]],Ahu_Ashrae_sheet[[#This Row],[Desired Room Balance]],Ahu_Ashrae_sheet[[#This Row],[Misc Exhaust From Room]])</f>
        <v>120</v>
      </c>
      <c r="AC6" s="95">
        <f ca="1">Ahu_Ashrae_sheet[[#This Row],[DESIGN SA(CFM)]]-Ahu_Ashrae_sheet[[#This Row],[DESIGN RA(CFM)]]-Ahu_Ashrae_sheet[[#This Row],[DESIGN EA (CFM)]]</f>
        <v>-60</v>
      </c>
      <c r="AD6" s="69">
        <f ca="1">Ahu_Ashrae_sheet[[#This Row],[OUTSIDE AIRFLOW (CFM) (Vot)]]/Ahu_Ashrae_sheet[[#This Row],[DESIGN SA(CFM)]]</f>
        <v>0</v>
      </c>
    </row>
    <row r="7" spans="1:30" ht="15.6">
      <c r="A7" s="63"/>
      <c r="B7" s="63"/>
      <c r="C7" s="339">
        <f>SUBTOTAL(103,Ahu_Ashrae_sheet[Room])</f>
        <v>1</v>
      </c>
      <c r="D7" s="340">
        <f>SUBTOTAL(109,Ahu_Ashrae_sheet[AREA 
(FT²)])</f>
        <v>73</v>
      </c>
      <c r="E7" s="340"/>
      <c r="F7" s="341"/>
      <c r="G7" s="342"/>
      <c r="H7" s="342">
        <f>SUBTOTAL(109,Ahu_Ashrae_sheet[HEATING LOAD (CFM)])</f>
        <v>20</v>
      </c>
      <c r="I7" s="343">
        <f>SUBTOTAL(109,Ahu_Ashrae_sheet[COOLING LOAD (CFM)])</f>
        <v>43</v>
      </c>
      <c r="J7" s="63"/>
      <c r="K7" s="63"/>
      <c r="L7" s="344"/>
      <c r="M7" s="344"/>
      <c r="N7" s="344"/>
      <c r="O7" s="344"/>
      <c r="P7" s="346">
        <f>SUBTOTAL(109,Ahu_Ashrae_sheet[Occupants])</f>
        <v>0</v>
      </c>
      <c r="Q7" s="344"/>
      <c r="R7" s="344"/>
      <c r="S7" s="344"/>
      <c r="T7" s="345">
        <f>SUBTOTAL(109,Ahu_Ashrae_sheet[OUTSIDE AIRFLOW (CFM) (Vot)])</f>
        <v>0</v>
      </c>
      <c r="U7" s="345"/>
      <c r="V7" s="345"/>
      <c r="W7" s="344"/>
      <c r="X7" s="344"/>
      <c r="Y7" s="344"/>
      <c r="Z7" s="345">
        <f ca="1">SUBTOTAL(109,Ahu_Ashrae_sheet[DESIGN SA(CFM)])</f>
        <v>60</v>
      </c>
      <c r="AA7" s="345">
        <f ca="1">SUBTOTAL(109,Ahu_Ashrae_sheet[DESIGN RA(CFM)])</f>
        <v>0</v>
      </c>
      <c r="AB7" s="345">
        <f ca="1">SUBTOTAL(109,Ahu_Ashrae_sheet[DESIGN EA (CFM)])</f>
        <v>120</v>
      </c>
      <c r="AC7" s="344"/>
      <c r="AD7" s="75"/>
    </row>
    <row r="18" spans="23:23">
      <c r="W18" s="23"/>
    </row>
  </sheetData>
  <mergeCells count="4">
    <mergeCell ref="A4:H4"/>
    <mergeCell ref="Y4:AB4"/>
    <mergeCell ref="I4:X4"/>
    <mergeCell ref="Q1:S1"/>
  </mergeCells>
  <phoneticPr fontId="13" type="noConversion"/>
  <conditionalFormatting sqref="Z6:Z7">
    <cfRule type="dataBar" priority="60">
      <dataBar>
        <cfvo type="min"/>
        <cfvo type="max"/>
        <color rgb="FF638EC6"/>
      </dataBar>
      <extLst>
        <ext xmlns:x14="http://schemas.microsoft.com/office/spreadsheetml/2009/9/main" uri="{B025F937-C7B1-47D3-B67F-A62EFF666E3E}">
          <x14:id>{CDE7D3AC-6ACE-4480-AF63-3CEA9CC185CA}</x14:id>
        </ext>
      </extLst>
    </cfRule>
  </conditionalFormatting>
  <dataValidations count="1">
    <dataValidation type="whole" allowBlank="1" showInputMessage="1" showErrorMessage="1" sqref="T1" xr:uid="{0FF2DACB-E873-4686-816C-C9844AD71ACA}">
      <formula1>-1</formula1>
      <formula2>99999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7" r:id="rId3" name="Button 7">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CDE7D3AC-6ACE-4480-AF63-3CEA9CC185CA}">
            <x14:dataBar minLength="0" maxLength="100" border="1" negativeBarBorderColorSameAsPositive="0">
              <x14:cfvo type="autoMin"/>
              <x14:cfvo type="autoMax"/>
              <x14:borderColor rgb="FF638EC6"/>
              <x14:negativeFillColor rgb="FFFF0000"/>
              <x14:negativeBorderColor rgb="FFFF0000"/>
              <x14:axisColor rgb="FF000000"/>
            </x14:dataBar>
          </x14:cfRule>
          <xm:sqref>Z6:Z7</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59E1751-F435-4792-AED9-8F254AC74D34}">
          <x14:formula1>
            <xm:f>'ASHRAE Table'!$Q$3:$Q$13</xm:f>
          </x14:formula1>
          <xm:sqref>R6</xm:sqref>
        </x14:dataValidation>
        <x14:dataValidation type="list" allowBlank="1" showInputMessage="1" showErrorMessage="1" xr:uid="{24E0B1E6-5BE9-44A1-B116-13515694B900}">
          <x14:formula1>
            <xm:f>'ASHRAE Table'!$J$2:$J$37</xm:f>
          </x14:formula1>
          <xm:sqref>J6</xm:sqref>
        </x14:dataValidation>
        <x14:dataValidation type="list" allowBlank="1" showInputMessage="1" showErrorMessage="1" xr:uid="{86BBE610-6A86-453B-AA60-63DE32ACEFAB}">
          <x14:formula1>
            <xm:f>'ASHRAE Table'!$A$2:$A$93</xm:f>
          </x14:formula1>
          <xm:sqref>K6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3147E-0D8F-4266-8282-75E0A49D7AAC}">
  <sheetPr codeName="Sheet17"/>
  <dimension ref="A1:AD22"/>
  <sheetViews>
    <sheetView showGridLines="0" topLeftCell="S1" zoomScale="85" zoomScaleNormal="85" workbookViewId="0">
      <selection activeCell="Y17" sqref="Y17"/>
    </sheetView>
  </sheetViews>
  <sheetFormatPr defaultRowHeight="13.2"/>
  <cols>
    <col min="1" max="1" width="17.77734375" customWidth="1"/>
    <col min="2" max="2" width="20.77734375" customWidth="1"/>
    <col min="3" max="3" width="12.44140625" bestFit="1" customWidth="1"/>
    <col min="4" max="4" width="13.5546875" customWidth="1"/>
    <col min="5" max="5" width="14.21875" bestFit="1" customWidth="1"/>
    <col min="6" max="6" width="21" bestFit="1" customWidth="1"/>
    <col min="7" max="7" width="14.77734375" bestFit="1" customWidth="1"/>
    <col min="8" max="8" width="15.109375" bestFit="1" customWidth="1"/>
    <col min="9" max="11" width="25.109375" bestFit="1" customWidth="1"/>
    <col min="12" max="13" width="50.6640625" bestFit="1" customWidth="1"/>
    <col min="14" max="14" width="13.6640625" customWidth="1"/>
    <col min="15" max="15" width="14.5546875" customWidth="1"/>
    <col min="16" max="16" width="11.33203125" bestFit="1" customWidth="1"/>
    <col min="17" max="17" width="18.44140625" customWidth="1"/>
    <col min="18" max="18" width="14.109375" customWidth="1"/>
    <col min="19" max="19" width="17.109375" bestFit="1" customWidth="1"/>
    <col min="20" max="20" width="17.109375" customWidth="1"/>
    <col min="21" max="21" width="14.88671875" customWidth="1"/>
    <col min="22" max="22" width="15.88671875" customWidth="1"/>
    <col min="23" max="23" width="18.44140625" bestFit="1" customWidth="1"/>
    <col min="24" max="24" width="19" customWidth="1"/>
    <col min="25" max="25" width="14.77734375" customWidth="1"/>
    <col min="26" max="26" width="11.6640625" customWidth="1"/>
    <col min="27" max="27" width="24.5546875" bestFit="1" customWidth="1"/>
    <col min="28" max="28" width="15.5546875" bestFit="1" customWidth="1"/>
    <col min="29" max="29" width="15.44140625" bestFit="1" customWidth="1"/>
  </cols>
  <sheetData>
    <row r="1" spans="1:30" ht="17.399999999999999">
      <c r="J1" s="293" t="s">
        <v>924</v>
      </c>
      <c r="K1" s="294" t="s">
        <v>108</v>
      </c>
      <c r="Q1" s="505" t="s">
        <v>880</v>
      </c>
      <c r="R1" s="505"/>
      <c r="S1" s="505"/>
      <c r="T1" s="294">
        <v>0</v>
      </c>
    </row>
    <row r="4" spans="1:30" s="355" customFormat="1" ht="20.399999999999999">
      <c r="A4" s="521" t="s">
        <v>748</v>
      </c>
      <c r="B4" s="521"/>
      <c r="C4" s="521"/>
      <c r="D4" s="521"/>
      <c r="E4" s="521"/>
      <c r="F4" s="521"/>
      <c r="G4" s="521"/>
      <c r="H4" s="521"/>
      <c r="I4" s="521"/>
      <c r="J4" s="522" t="s">
        <v>916</v>
      </c>
      <c r="K4" s="523"/>
      <c r="L4" s="523"/>
      <c r="M4" s="523"/>
      <c r="N4" s="523"/>
      <c r="O4" s="523"/>
      <c r="P4" s="523"/>
      <c r="Q4" s="523"/>
      <c r="R4" s="523"/>
      <c r="S4" s="523"/>
      <c r="T4" s="523"/>
      <c r="U4" s="523"/>
      <c r="V4" s="523"/>
      <c r="W4" s="523"/>
      <c r="X4" s="523"/>
      <c r="Y4" s="524"/>
      <c r="Z4" s="521" t="s">
        <v>253</v>
      </c>
      <c r="AA4" s="521"/>
      <c r="AB4" s="521"/>
      <c r="AC4" s="521"/>
    </row>
    <row r="5" spans="1:30" s="11" customFormat="1" ht="124.8">
      <c r="A5" s="282" t="s">
        <v>5</v>
      </c>
      <c r="B5" s="64" t="s">
        <v>78</v>
      </c>
      <c r="C5" s="63" t="s">
        <v>79</v>
      </c>
      <c r="D5" s="64" t="s">
        <v>254</v>
      </c>
      <c r="E5" s="282" t="s">
        <v>926</v>
      </c>
      <c r="F5" s="282" t="s">
        <v>732</v>
      </c>
      <c r="G5" s="64" t="s">
        <v>81</v>
      </c>
      <c r="H5" s="64" t="s">
        <v>82</v>
      </c>
      <c r="I5" s="297" t="s">
        <v>879</v>
      </c>
      <c r="J5" s="297" t="s">
        <v>878</v>
      </c>
      <c r="K5" s="65" t="s">
        <v>21</v>
      </c>
      <c r="L5" s="64" t="s">
        <v>739</v>
      </c>
      <c r="M5" s="64" t="s">
        <v>83</v>
      </c>
      <c r="N5" s="64" t="s">
        <v>918</v>
      </c>
      <c r="O5" s="64" t="s">
        <v>917</v>
      </c>
      <c r="P5" s="64" t="s">
        <v>915</v>
      </c>
      <c r="Q5" s="64" t="s">
        <v>920</v>
      </c>
      <c r="R5" s="64" t="s">
        <v>27</v>
      </c>
      <c r="S5" s="64" t="s">
        <v>925</v>
      </c>
      <c r="T5" s="66" t="s">
        <v>921</v>
      </c>
      <c r="U5" s="66" t="s">
        <v>922</v>
      </c>
      <c r="V5" s="356" t="s">
        <v>923</v>
      </c>
      <c r="W5" s="66" t="s">
        <v>734</v>
      </c>
      <c r="X5" s="66" t="s">
        <v>36</v>
      </c>
      <c r="Y5" s="66" t="s">
        <v>37</v>
      </c>
      <c r="Z5" s="64" t="s">
        <v>919</v>
      </c>
      <c r="AA5" s="66" t="s">
        <v>259</v>
      </c>
      <c r="AB5" s="66" t="s">
        <v>260</v>
      </c>
      <c r="AC5" s="64" t="s">
        <v>92</v>
      </c>
      <c r="AD5" s="67" t="s">
        <v>40</v>
      </c>
    </row>
    <row r="6" spans="1:30" ht="15.6">
      <c r="A6" s="304" t="s">
        <v>928</v>
      </c>
      <c r="B6" s="92">
        <v>123</v>
      </c>
      <c r="C6" s="92" t="s">
        <v>735</v>
      </c>
      <c r="D6" s="92">
        <v>250</v>
      </c>
      <c r="E6" s="92"/>
      <c r="F6" s="92">
        <v>-50</v>
      </c>
      <c r="G6" s="92">
        <v>0</v>
      </c>
      <c r="H6" s="111">
        <f>IF((VLOOKUP(Ahu_t24_sheet[[#This Row],[Occupancy Category]],T24_VENT[#All],6,FALSE)) = "YES",MROUND(D6/2,5),MROUND(D6,5))</f>
        <v>250</v>
      </c>
      <c r="I6" s="92">
        <v>80</v>
      </c>
      <c r="J6" s="92">
        <v>2000</v>
      </c>
      <c r="K6" s="92" t="s">
        <v>45</v>
      </c>
      <c r="L6" s="139">
        <v>0</v>
      </c>
      <c r="M6" s="92" t="s">
        <v>809</v>
      </c>
      <c r="N6" s="92" t="s">
        <v>108</v>
      </c>
      <c r="O6" s="92">
        <v>150</v>
      </c>
      <c r="P6" s="94">
        <f>VLOOKUP(Ahu_t24_sheet[[#This Row],[Occupancy Category]],T24_VENT[#All],2,FALSE)</f>
        <v>0.15</v>
      </c>
      <c r="Q6" s="94">
        <f>VLOOKUP(Ahu_t24_sheet[[#This Row],[Occupancy Category]],T24_VENT[#All],3,FALSE)</f>
        <v>0</v>
      </c>
      <c r="R6" s="94">
        <f>VLOOKUP(Ahu_t24_sheet[[#This Row],[Occupancy Category]],T24_VENT[#All],4,FALSE)</f>
        <v>2</v>
      </c>
      <c r="S6" s="94" t="str">
        <f>VLOOKUP(Ahu_t24_sheet[[#This Row],[Occupancy Category]],T24_VENT[#All],5,FALSE)</f>
        <v>NO</v>
      </c>
      <c r="T6"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6" s="95">
        <f>IF(AND(Ahu_t24_sheet[[#This Row],[Occupancy Sensor Installed?]]="YES",Ahu_t24_sheet[[#This Row],[Occupancy Stanby Permitted?]]="YES"),0,Ahu_t24_sheet[[#This Row],[MIN VENT AIR FOR DCV (CFM/FT²)]]*Ahu_t24_sheet[[#This Row],[AREA 
(FT²)]])</f>
        <v>0</v>
      </c>
      <c r="V6" s="95" t="str">
        <f>IF(AND(OR(($K$1 = "YES"),Ahu_t24_sheet[[#Totals],[Vz (CFM)]]&gt;2900),( VLOOKUP(Ahu_t24_sheet[[#This Row],[Occupancy Category]],T24_VENT[#All],7,FALSE))&gt;24),"YES","NO")</f>
        <v>NO</v>
      </c>
      <c r="W6" s="95" t="str">
        <f>IF(Ahu_t24_sheet[[#This Row],[Exhaust Category]] = "NOT APPLICABLE","NR","YES")</f>
        <v>NR</v>
      </c>
      <c r="X6" s="95" t="str">
        <f>IF(Ahu_t24_sheet[[#This Row],[Exhaust Category]]="NOT APPLICABLE","NA",VLOOKUP(Ahu_t24_sheet[[#This Row],[Exhaust Category]],TITLE24_EXHAUST_TABLE[#All],2,FALSE))</f>
        <v>NA</v>
      </c>
      <c r="Y6" s="95" t="str">
        <f>IF(Ahu_t24_sheet[[#This Row],[Exhaust Category]]="NOT APPLICABLE","NA",VLOOKUP(Ahu_t24_sheet[[#This Row],[Exhaust Category]],TITLE24_EXHAUST_TABLE[#All],3,FALSE))</f>
        <v>NA</v>
      </c>
      <c r="Z6"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6" s="139" cm="1">
        <f t="array" aca="1" ref="AA6"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6" s="139" cm="1">
        <f t="array" aca="1" ref="AB6" ca="1">Returnair(Ahu_t24_sheet[[#This Row],[DESIGN SA(CFM)]],Ahu_t24_sheet[[#This Row],[Desired Room Balance]],Ahu_t24_sheet[[#This Row],[Exhausted?]],Ahu_t24_sheet[[#This Row],[Misc Exhaust From Room]])</f>
        <v>2300</v>
      </c>
      <c r="AC6" s="139" cm="1">
        <f t="array" aca="1" ref="AC6" ca="1">Exhaustair(Ahu_t24_sheet[[#This Row],[DESIGN SA(CFM)]],Ahu_t24_sheet[[#This Row],[Exhausted?]],Ahu_t24_sheet[[#This Row],[MIN EA
(CFM)]],Ahu_t24_sheet[[#This Row],[Desired Room Balance]],Ahu_t24_sheet[[#This Row],[Misc Exhaust From Room]])</f>
        <v>0</v>
      </c>
      <c r="AD6" s="95">
        <f ca="1">Ahu_t24_sheet[[#This Row],[DESIGN SA(CFM)]]-Ahu_t24_sheet[[#This Row],[DESIGN RA(CFM)]]-Ahu_t24_sheet[[#This Row],[DESIGN EA(CFM)]]</f>
        <v>-50</v>
      </c>
    </row>
    <row r="7" spans="1:30" ht="15.6">
      <c r="A7" s="139" t="s">
        <v>929</v>
      </c>
      <c r="B7" s="92">
        <v>344</v>
      </c>
      <c r="C7" s="92" t="s">
        <v>746</v>
      </c>
      <c r="D7" s="92">
        <v>1000</v>
      </c>
      <c r="E7" s="92"/>
      <c r="F7" s="92">
        <v>100</v>
      </c>
      <c r="G7" s="92">
        <v>0</v>
      </c>
      <c r="H7" s="111">
        <f>IF((VLOOKUP(Ahu_t24_sheet[[#This Row],[Occupancy Category]],T24_VENT[#All],6,FALSE)) = "YES",MROUND(D7/2,5),MROUND(D7,5))</f>
        <v>1000</v>
      </c>
      <c r="I7" s="92">
        <v>90</v>
      </c>
      <c r="J7" s="92">
        <v>1800</v>
      </c>
      <c r="K7" s="92" t="s">
        <v>45</v>
      </c>
      <c r="L7" s="139">
        <v>0</v>
      </c>
      <c r="M7" s="92" t="s">
        <v>871</v>
      </c>
      <c r="N7" s="92" t="s">
        <v>46</v>
      </c>
      <c r="O7" s="92">
        <v>0</v>
      </c>
      <c r="P7" s="94">
        <f>VLOOKUP(Ahu_t24_sheet[[#This Row],[Occupancy Category]],T24_VENT[#All],2,FALSE)</f>
        <v>0.38</v>
      </c>
      <c r="Q7" s="94">
        <f>VLOOKUP(Ahu_t24_sheet[[#This Row],[Occupancy Category]],T24_VENT[#All],3,FALSE)</f>
        <v>0.15</v>
      </c>
      <c r="R7" s="94">
        <f>VLOOKUP(Ahu_t24_sheet[[#This Row],[Occupancy Category]],T24_VENT[#All],4,FALSE)</f>
        <v>1</v>
      </c>
      <c r="S7" s="94" t="str">
        <f>VLOOKUP(Ahu_t24_sheet[[#This Row],[Occupancy Category]],T24_VENT[#All],5,FALSE)</f>
        <v>NO</v>
      </c>
      <c r="T7"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380</v>
      </c>
      <c r="U7" s="95">
        <f>IF(AND(Ahu_t24_sheet[[#This Row],[Occupancy Sensor Installed?]]="YES",Ahu_t24_sheet[[#This Row],[Occupancy Stanby Permitted?]]="YES"),0,Ahu_t24_sheet[[#This Row],[MIN VENT AIR FOR DCV (CFM/FT²)]]*Ahu_t24_sheet[[#This Row],[AREA 
(FT²)]])</f>
        <v>150</v>
      </c>
      <c r="V7" s="95" t="str">
        <f>IF(AND(OR(($K$1 = "YES"),Ahu_t24_sheet[[#Totals],[Vz (CFM)]]&gt;2900),( VLOOKUP(Ahu_t24_sheet[[#This Row],[Occupancy Category]],T24_VENT[#All],7,FALSE))&gt;24),"YES","NO")</f>
        <v>YES</v>
      </c>
      <c r="W7" s="95" t="str">
        <f>IF(Ahu_t24_sheet[[#This Row],[Exhaust Category]] = "NOT APPLICABLE","NR","YES")</f>
        <v>NR</v>
      </c>
      <c r="X7" s="95" t="str">
        <f>IF(Ahu_t24_sheet[[#This Row],[Exhaust Category]]="NOT APPLICABLE","NA",VLOOKUP(Ahu_t24_sheet[[#This Row],[Exhaust Category]],TITLE24_EXHAUST_TABLE[#All],2,FALSE))</f>
        <v>NA</v>
      </c>
      <c r="Y7" s="95" t="str">
        <f>IF(Ahu_t24_sheet[[#This Row],[Exhaust Category]]="NOT APPLICABLE","NA",VLOOKUP(Ahu_t24_sheet[[#This Row],[Exhaust Category]],TITLE24_EXHAUST_TABLE[#All],3,FALSE))</f>
        <v>NA</v>
      </c>
      <c r="Z7"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7" s="139" cm="1">
        <f t="array" aca="1" ref="AA7"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1800</v>
      </c>
      <c r="AB7" s="139" cm="1">
        <f t="array" aca="1" ref="AB7" ca="1">Returnair(Ahu_t24_sheet[[#This Row],[DESIGN SA(CFM)]],Ahu_t24_sheet[[#This Row],[Desired Room Balance]],Ahu_t24_sheet[[#This Row],[Exhausted?]],Ahu_t24_sheet[[#This Row],[Misc Exhaust From Room]])</f>
        <v>1700</v>
      </c>
      <c r="AC7" s="139" cm="1">
        <f t="array" aca="1" ref="AC7" ca="1">Exhaustair(Ahu_t24_sheet[[#This Row],[DESIGN SA(CFM)]],Ahu_t24_sheet[[#This Row],[Exhausted?]],Ahu_t24_sheet[[#This Row],[MIN EA
(CFM)]],Ahu_t24_sheet[[#This Row],[Desired Room Balance]],Ahu_t24_sheet[[#This Row],[Misc Exhaust From Room]])</f>
        <v>0</v>
      </c>
      <c r="AD7" s="95">
        <f ca="1">Ahu_t24_sheet[[#This Row],[DESIGN SA(CFM)]]-Ahu_t24_sheet[[#This Row],[DESIGN RA(CFM)]]-Ahu_t24_sheet[[#This Row],[DESIGN EA(CFM)]]</f>
        <v>100</v>
      </c>
    </row>
    <row r="8" spans="1:30" ht="15.6">
      <c r="A8" s="357" t="s">
        <v>930</v>
      </c>
      <c r="B8" s="92">
        <v>566</v>
      </c>
      <c r="C8" s="92" t="s">
        <v>747</v>
      </c>
      <c r="D8" s="92">
        <v>1000</v>
      </c>
      <c r="E8" s="92"/>
      <c r="F8" s="92">
        <v>-50</v>
      </c>
      <c r="G8" s="92">
        <v>0</v>
      </c>
      <c r="H8" s="111">
        <f>IF((VLOOKUP(Ahu_t24_sheet[[#This Row],[Occupancy Category]],T24_VENT[#All],6,FALSE)) = "YES",MROUND(D8/2,5),MROUND(D8,5))</f>
        <v>1000</v>
      </c>
      <c r="I8" s="92">
        <v>100</v>
      </c>
      <c r="J8" s="92">
        <v>2000</v>
      </c>
      <c r="K8" s="92" t="s">
        <v>45</v>
      </c>
      <c r="L8" s="139">
        <v>0</v>
      </c>
      <c r="M8" s="92" t="s">
        <v>864</v>
      </c>
      <c r="N8" s="92" t="s">
        <v>46</v>
      </c>
      <c r="O8" s="92">
        <v>0</v>
      </c>
      <c r="P8" s="94">
        <f>VLOOKUP(Ahu_t24_sheet[[#This Row],[Occupancy Category]],T24_VENT[#All],2,FALSE)</f>
        <v>0.15</v>
      </c>
      <c r="Q8" s="94">
        <f>VLOOKUP(Ahu_t24_sheet[[#This Row],[Occupancy Category]],T24_VENT[#All],3,FALSE)</f>
        <v>0</v>
      </c>
      <c r="R8" s="94">
        <f>VLOOKUP(Ahu_t24_sheet[[#This Row],[Occupancy Category]],T24_VENT[#All],4,FALSE)</f>
        <v>1</v>
      </c>
      <c r="S8" s="94" t="str">
        <f>VLOOKUP(Ahu_t24_sheet[[#This Row],[Occupancy Category]],T24_VENT[#All],5,FALSE)</f>
        <v>NO</v>
      </c>
      <c r="T8"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150</v>
      </c>
      <c r="U8" s="95">
        <f>IF(AND(Ahu_t24_sheet[[#This Row],[Occupancy Sensor Installed?]]="YES",Ahu_t24_sheet[[#This Row],[Occupancy Stanby Permitted?]]="YES"),0,Ahu_t24_sheet[[#This Row],[MIN VENT AIR FOR DCV (CFM/FT²)]]*Ahu_t24_sheet[[#This Row],[AREA 
(FT²)]])</f>
        <v>0</v>
      </c>
      <c r="V8" s="95" t="str">
        <f>IF(AND(OR(($K$1 = "YES"),Ahu_t24_sheet[[#Totals],[Vz (CFM)]]&gt;2900),( VLOOKUP(Ahu_t24_sheet[[#This Row],[Occupancy Category]],T24_VENT[#All],7,FALSE))&gt;24),"YES","NO")</f>
        <v>YES</v>
      </c>
      <c r="W8" s="95" t="str">
        <f>IF(Ahu_t24_sheet[[#This Row],[Exhaust Category]] = "NOT APPLICABLE","NR","YES")</f>
        <v>NR</v>
      </c>
      <c r="X8" s="95" t="str">
        <f>IF(Ahu_t24_sheet[[#This Row],[Exhaust Category]]="NOT APPLICABLE","NA",VLOOKUP(Ahu_t24_sheet[[#This Row],[Exhaust Category]],TITLE24_EXHAUST_TABLE[#All],2,FALSE))</f>
        <v>NA</v>
      </c>
      <c r="Y8" s="95" t="str">
        <f>IF(Ahu_t24_sheet[[#This Row],[Exhaust Category]]="NOT APPLICABLE","NA",VLOOKUP(Ahu_t24_sheet[[#This Row],[Exhaust Category]],TITLE24_EXHAUST_TABLE[#All],3,FALSE))</f>
        <v>NA</v>
      </c>
      <c r="Z8"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8" s="139" cm="1">
        <f t="array" aca="1" ref="AA8"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2000</v>
      </c>
      <c r="AB8" s="139" cm="1">
        <f t="array" aca="1" ref="AB8" ca="1">Returnair(Ahu_t24_sheet[[#This Row],[DESIGN SA(CFM)]],Ahu_t24_sheet[[#This Row],[Desired Room Balance]],Ahu_t24_sheet[[#This Row],[Exhausted?]],Ahu_t24_sheet[[#This Row],[Misc Exhaust From Room]])</f>
        <v>2050</v>
      </c>
      <c r="AC8" s="139" cm="1">
        <f t="array" aca="1" ref="AC8" ca="1">Exhaustair(Ahu_t24_sheet[[#This Row],[DESIGN SA(CFM)]],Ahu_t24_sheet[[#This Row],[Exhausted?]],Ahu_t24_sheet[[#This Row],[MIN EA
(CFM)]],Ahu_t24_sheet[[#This Row],[Desired Room Balance]],Ahu_t24_sheet[[#This Row],[Misc Exhaust From Room]])</f>
        <v>0</v>
      </c>
      <c r="AD8" s="95">
        <f ca="1">Ahu_t24_sheet[[#This Row],[DESIGN SA(CFM)]]-Ahu_t24_sheet[[#This Row],[DESIGN RA(CFM)]]-Ahu_t24_sheet[[#This Row],[DESIGN EA(CFM)]]</f>
        <v>-50</v>
      </c>
    </row>
    <row r="9" spans="1:30" ht="15.6">
      <c r="A9" s="304" t="s">
        <v>928</v>
      </c>
      <c r="B9" s="92">
        <v>123</v>
      </c>
      <c r="C9" s="92" t="s">
        <v>735</v>
      </c>
      <c r="D9" s="92">
        <v>250</v>
      </c>
      <c r="E9" s="92"/>
      <c r="F9" s="92">
        <v>-50</v>
      </c>
      <c r="G9" s="92">
        <v>0</v>
      </c>
      <c r="H9" s="111">
        <f>IF((VLOOKUP(Ahu_t24_sheet[[#This Row],[Occupancy Category]],T24_VENT[#All],6,FALSE)) = "YES",MROUND(D9/2,5),MROUND(D9,5))</f>
        <v>250</v>
      </c>
      <c r="I9" s="92">
        <v>80</v>
      </c>
      <c r="J9" s="92">
        <v>2000</v>
      </c>
      <c r="K9" s="92" t="s">
        <v>45</v>
      </c>
      <c r="L9" s="139">
        <v>0</v>
      </c>
      <c r="M9" s="92" t="s">
        <v>809</v>
      </c>
      <c r="N9" s="92" t="s">
        <v>108</v>
      </c>
      <c r="O9" s="92">
        <v>150</v>
      </c>
      <c r="P9" s="94">
        <f>VLOOKUP(Ahu_t24_sheet[[#This Row],[Occupancy Category]],T24_VENT[#All],2,FALSE)</f>
        <v>0.15</v>
      </c>
      <c r="Q9" s="94">
        <f>VLOOKUP(Ahu_t24_sheet[[#This Row],[Occupancy Category]],T24_VENT[#All],3,FALSE)</f>
        <v>0</v>
      </c>
      <c r="R9" s="94">
        <f>VLOOKUP(Ahu_t24_sheet[[#This Row],[Occupancy Category]],T24_VENT[#All],4,FALSE)</f>
        <v>2</v>
      </c>
      <c r="S9" s="94" t="str">
        <f>VLOOKUP(Ahu_t24_sheet[[#This Row],[Occupancy Category]],T24_VENT[#All],5,FALSE)</f>
        <v>NO</v>
      </c>
      <c r="T9"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9" s="95">
        <f>IF(AND(Ahu_t24_sheet[[#This Row],[Occupancy Sensor Installed?]]="YES",Ahu_t24_sheet[[#This Row],[Occupancy Stanby Permitted?]]="YES"),0,Ahu_t24_sheet[[#This Row],[MIN VENT AIR FOR DCV (CFM/FT²)]]*Ahu_t24_sheet[[#This Row],[AREA 
(FT²)]])</f>
        <v>0</v>
      </c>
      <c r="V9" s="95" t="str">
        <f>IF(AND(OR(($K$1 = "YES"),Ahu_t24_sheet[[#Totals],[Vz (CFM)]]&gt;2900),( VLOOKUP(Ahu_t24_sheet[[#This Row],[Occupancy Category]],T24_VENT[#All],7,FALSE))&gt;24),"YES","NO")</f>
        <v>NO</v>
      </c>
      <c r="W9" s="95" t="str">
        <f>IF(Ahu_t24_sheet[[#This Row],[Exhaust Category]] = "NOT APPLICABLE","NR","YES")</f>
        <v>NR</v>
      </c>
      <c r="X9" s="95" t="str">
        <f>IF(Ahu_t24_sheet[[#This Row],[Exhaust Category]]="NOT APPLICABLE","NA",VLOOKUP(Ahu_t24_sheet[[#This Row],[Exhaust Category]],TITLE24_EXHAUST_TABLE[#All],2,FALSE))</f>
        <v>NA</v>
      </c>
      <c r="Y9" s="95" t="str">
        <f>IF(Ahu_t24_sheet[[#This Row],[Exhaust Category]]="NOT APPLICABLE","NA",VLOOKUP(Ahu_t24_sheet[[#This Row],[Exhaust Category]],TITLE24_EXHAUST_TABLE[#All],3,FALSE))</f>
        <v>NA</v>
      </c>
      <c r="Z9"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9" s="139" cm="1">
        <f t="array" aca="1" ref="AA9"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9" s="139" cm="1">
        <f t="array" aca="1" ref="AB9" ca="1">Returnair(Ahu_t24_sheet[[#This Row],[DESIGN SA(CFM)]],Ahu_t24_sheet[[#This Row],[Desired Room Balance]],Ahu_t24_sheet[[#This Row],[Exhausted?]],Ahu_t24_sheet[[#This Row],[Misc Exhaust From Room]])</f>
        <v>2300</v>
      </c>
      <c r="AC9" s="139" cm="1">
        <f t="array" aca="1" ref="AC9" ca="1">Exhaustair(Ahu_t24_sheet[[#This Row],[DESIGN SA(CFM)]],Ahu_t24_sheet[[#This Row],[Exhausted?]],Ahu_t24_sheet[[#This Row],[MIN EA
(CFM)]],Ahu_t24_sheet[[#This Row],[Desired Room Balance]],Ahu_t24_sheet[[#This Row],[Misc Exhaust From Room]])</f>
        <v>0</v>
      </c>
      <c r="AD9" s="95">
        <f ca="1">Ahu_t24_sheet[[#This Row],[DESIGN SA(CFM)]]-Ahu_t24_sheet[[#This Row],[DESIGN RA(CFM)]]-Ahu_t24_sheet[[#This Row],[DESIGN EA(CFM)]]</f>
        <v>-50</v>
      </c>
    </row>
    <row r="10" spans="1:30" ht="15.6">
      <c r="A10" s="304" t="s">
        <v>928</v>
      </c>
      <c r="B10" s="92">
        <v>123</v>
      </c>
      <c r="C10" s="92" t="s">
        <v>735</v>
      </c>
      <c r="D10" s="92">
        <v>250</v>
      </c>
      <c r="E10" s="92"/>
      <c r="F10" s="92">
        <v>-50</v>
      </c>
      <c r="G10" s="92">
        <v>0</v>
      </c>
      <c r="H10" s="111">
        <f>IF((VLOOKUP(Ahu_t24_sheet[[#This Row],[Occupancy Category]],T24_VENT[#All],6,FALSE)) = "YES",MROUND(D10/2,5),MROUND(D10,5))</f>
        <v>250</v>
      </c>
      <c r="I10" s="92">
        <v>80</v>
      </c>
      <c r="J10" s="92">
        <v>2000</v>
      </c>
      <c r="K10" s="92" t="s">
        <v>45</v>
      </c>
      <c r="L10" s="139">
        <v>0</v>
      </c>
      <c r="M10" s="92" t="s">
        <v>809</v>
      </c>
      <c r="N10" s="92" t="s">
        <v>108</v>
      </c>
      <c r="O10" s="92">
        <v>150</v>
      </c>
      <c r="P10" s="94">
        <f>VLOOKUP(Ahu_t24_sheet[[#This Row],[Occupancy Category]],T24_VENT[#All],2,FALSE)</f>
        <v>0.15</v>
      </c>
      <c r="Q10" s="94">
        <f>VLOOKUP(Ahu_t24_sheet[[#This Row],[Occupancy Category]],T24_VENT[#All],3,FALSE)</f>
        <v>0</v>
      </c>
      <c r="R10" s="94">
        <f>VLOOKUP(Ahu_t24_sheet[[#This Row],[Occupancy Category]],T24_VENT[#All],4,FALSE)</f>
        <v>2</v>
      </c>
      <c r="S10" s="94" t="str">
        <f>VLOOKUP(Ahu_t24_sheet[[#This Row],[Occupancy Category]],T24_VENT[#All],5,FALSE)</f>
        <v>NO</v>
      </c>
      <c r="T10" s="95">
        <f>IF(Ahu_t24_sheet[[#This Row],[FIXED SEATING OR SPACE DESIGNED WITH EXCEPTION TO 1004.5]]="YES",MAX(Ahu_t24_sheet[[#This Row],[TOTAL OA RATE
(CFM/FT²)]]*Ahu_t24_sheet[[#This Row],[AREA 
(FT²)]],15*Ahu_t24_sheet[[#This Row],[NUMBER OF OCCUPANTS ]]),Ahu_t24_sheet[[#This Row],[TOTAL OA RATE
(CFM/FT²)]]*Ahu_t24_sheet[[#This Row],[AREA 
(FT²)]])</f>
        <v>2250</v>
      </c>
      <c r="U10" s="95">
        <f>IF(AND(Ahu_t24_sheet[[#This Row],[Occupancy Sensor Installed?]]="YES",Ahu_t24_sheet[[#This Row],[Occupancy Stanby Permitted?]]="YES"),0,Ahu_t24_sheet[[#This Row],[MIN VENT AIR FOR DCV (CFM/FT²)]]*Ahu_t24_sheet[[#This Row],[AREA 
(FT²)]])</f>
        <v>0</v>
      </c>
      <c r="V10" s="95" t="str">
        <f>IF(AND(OR(($K$1 = "YES"),Ahu_t24_sheet[[#Totals],[Vz (CFM)]]&gt;2900),( VLOOKUP(Ahu_t24_sheet[[#This Row],[Occupancy Category]],T24_VENT[#All],7,FALSE))&gt;24),"YES","NO")</f>
        <v>NO</v>
      </c>
      <c r="W10" s="95" t="str">
        <f>IF(Ahu_t24_sheet[[#This Row],[Exhaust Category]] = "NOT APPLICABLE","NR","YES")</f>
        <v>NR</v>
      </c>
      <c r="X10" s="95" t="str">
        <f>IF(Ahu_t24_sheet[[#This Row],[Exhaust Category]]="NOT APPLICABLE","NA",VLOOKUP(Ahu_t24_sheet[[#This Row],[Exhaust Category]],TITLE24_EXHAUST_TABLE[#All],2,FALSE))</f>
        <v>NA</v>
      </c>
      <c r="Y10" s="95" t="str">
        <f>IF(Ahu_t24_sheet[[#This Row],[Exhaust Category]]="NOT APPLICABLE","NA",VLOOKUP(Ahu_t24_sheet[[#This Row],[Exhaust Category]],TITLE24_EXHAUST_TABLE[#All],3,FALSE))</f>
        <v>NA</v>
      </c>
      <c r="Z10" s="94">
        <f>Ahu_t24_sheet[[#This Row],[Misc Exhaust From Room]]+(IFERROR(IF(Ahu_t24_sheet[[#This Row],[EA RATE
(CFM/UNIT)]]=0&amp;Ahu_t24_sheet[[#This Row],[EA RATE
(CFM/FT²)]]=0,0,IF(Ahu_t24_sheet[[#This Row],[EA RATE
(CFM/UNIT)]]=0,Ahu_t24_sheet[[#This Row],[EA RATE
(CFM/FT²)]]*Ahu_t24_sheet[[#This Row],[AREA 
(FT²)]],Ahu_t24_sheet[[#This Row],[Exhaust Units]]*Ahu_t24_sheet[[#This Row],[EA RATE
(CFM/UNIT)]])),0))</f>
        <v>0</v>
      </c>
      <c r="AA10" s="139" cm="1">
        <f t="array" aca="1" ref="AA10" ca="1">supplyair(Ahu_t24_sheet[[#This Row],[COOLING LOAD (CFM)]],Ahu_t24_sheet[[#This Row],[OFFICE STANDARD 
(CFM)]],Ahu_t24_sheet[[#This Row],[OFFICE STANDARD 
(CFM)]],Ahu_t24_sheet[[#This Row],[Desired Room Balance]],Ahu_t24_sheet[[#This Row],[Exhausted?]],Ahu_t24_sheet[[#This Row],[MIN EA
(CFM)]],Ahu_t24_sheet[[#This Row],[Misc Exhaust From Room]],Ahu_t24_sheet[[#This Row],[Vz (CFM)]])</f>
        <v>2250</v>
      </c>
      <c r="AB10" s="139" cm="1">
        <f t="array" aca="1" ref="AB10" ca="1">Returnair(Ahu_t24_sheet[[#This Row],[DESIGN SA(CFM)]],Ahu_t24_sheet[[#This Row],[Desired Room Balance]],Ahu_t24_sheet[[#This Row],[Exhausted?]],Ahu_t24_sheet[[#This Row],[Misc Exhaust From Room]])</f>
        <v>2300</v>
      </c>
      <c r="AC10" s="139" cm="1">
        <f t="array" aca="1" ref="AC10" ca="1">Exhaustair(Ahu_t24_sheet[[#This Row],[DESIGN SA(CFM)]],Ahu_t24_sheet[[#This Row],[Exhausted?]],Ahu_t24_sheet[[#This Row],[MIN EA
(CFM)]],Ahu_t24_sheet[[#This Row],[Desired Room Balance]],Ahu_t24_sheet[[#This Row],[Misc Exhaust From Room]])</f>
        <v>0</v>
      </c>
      <c r="AD10" s="95">
        <f ca="1">Ahu_t24_sheet[[#This Row],[DESIGN SA(CFM)]]-Ahu_t24_sheet[[#This Row],[DESIGN RA(CFM)]]-Ahu_t24_sheet[[#This Row],[DESIGN EA(CFM)]]</f>
        <v>-50</v>
      </c>
    </row>
    <row r="11" spans="1:30" ht="15.6">
      <c r="A11" s="354"/>
      <c r="B11" s="347"/>
      <c r="C11" s="348">
        <f>SUBTOTAL(103,Ahu_t24_sheet[Room])</f>
        <v>5</v>
      </c>
      <c r="D11" s="349">
        <f>SUBTOTAL(109,Ahu_t24_sheet[AREA 
(FT²)])</f>
        <v>2750</v>
      </c>
      <c r="E11" s="349"/>
      <c r="F11" s="349"/>
      <c r="G11" s="350"/>
      <c r="H11" s="351"/>
      <c r="I11" s="351">
        <f>SUBTOTAL(109,Ahu_t24_sheet[HEATING LOAD (CFM)])</f>
        <v>430</v>
      </c>
      <c r="J11" s="352">
        <f>SUBTOTAL(109,Ahu_t24_sheet[COOLING LOAD (CFM)])</f>
        <v>9800</v>
      </c>
      <c r="K11" s="347"/>
      <c r="L11" s="353"/>
      <c r="M11" s="347"/>
      <c r="N11" s="347"/>
      <c r="O11" s="347"/>
      <c r="P11" s="354"/>
      <c r="Q11" s="354"/>
      <c r="R11" s="354"/>
      <c r="S11" s="354"/>
      <c r="T11" s="353">
        <f>SUBTOTAL(109,Ahu_t24_sheet[Vz (CFM)])</f>
        <v>7280</v>
      </c>
      <c r="U11" s="353"/>
      <c r="V11" s="353"/>
      <c r="W11" s="353"/>
      <c r="X11" s="354"/>
      <c r="Y11" s="354"/>
      <c r="Z11" s="354"/>
      <c r="AA11" s="353">
        <f ca="1">SUBTOTAL(109,Ahu_t24_sheet[DESIGN SA(CFM)])</f>
        <v>10550</v>
      </c>
      <c r="AB11" s="353">
        <f ca="1">SUBTOTAL(109,Ahu_t24_sheet[DESIGN RA(CFM)])</f>
        <v>10650</v>
      </c>
      <c r="AC11" s="353">
        <f ca="1">SUBTOTAL(109,Ahu_t24_sheet[DESIGN EA(CFM)])</f>
        <v>0</v>
      </c>
      <c r="AD11" s="354"/>
    </row>
    <row r="18" spans="23:27">
      <c r="AA18" s="23"/>
    </row>
    <row r="22" spans="23:27">
      <c r="W22" s="23"/>
    </row>
  </sheetData>
  <mergeCells count="4">
    <mergeCell ref="Q1:S1"/>
    <mergeCell ref="Z4:AC4"/>
    <mergeCell ref="A4:I4"/>
    <mergeCell ref="J4:Y4"/>
  </mergeCells>
  <phoneticPr fontId="13" type="noConversion"/>
  <conditionalFormatting sqref="AA6:AA11">
    <cfRule type="dataBar" priority="57">
      <dataBar>
        <cfvo type="min"/>
        <cfvo type="max"/>
        <color rgb="FF638EC6"/>
      </dataBar>
      <extLst>
        <ext xmlns:x14="http://schemas.microsoft.com/office/spreadsheetml/2009/9/main" uri="{B025F937-C7B1-47D3-B67F-A62EFF666E3E}">
          <x14:id>{800C0DD7-8325-4E4B-AA3E-F31FD530CC7A}</x14:id>
        </ext>
      </extLst>
    </cfRule>
  </conditionalFormatting>
  <dataValidations disablePrompts="1" count="3">
    <dataValidation type="whole" allowBlank="1" showInputMessage="1" showErrorMessage="1" sqref="T1" xr:uid="{F6326728-F215-473E-A50A-297231EF34F1}">
      <formula1>-1</formula1>
      <formula2>99999</formula2>
    </dataValidation>
    <dataValidation type="whole" allowBlank="1" showInputMessage="1" showErrorMessage="1" sqref="O6:O10" xr:uid="{73819BAC-3559-4BB3-A08E-42689E427C9D}">
      <formula1>-1</formula1>
      <formula2>100000</formula2>
    </dataValidation>
    <dataValidation type="whole" allowBlank="1" showInputMessage="1" showErrorMessage="1" sqref="L6:L10" xr:uid="{44451214-6102-4326-9581-06F51B74554A}">
      <formula1>-1</formula1>
      <formula2>10000</formula2>
    </dataValidation>
  </dataValidations>
  <pageMargins left="0.7" right="0.7" top="0.75" bottom="0.75" header="0.3" footer="0.3"/>
  <pageSetup orientation="portrait" r:id="rId1"/>
  <ignoredErrors>
    <ignoredError sqref="T6:U6 H6 X6:Y6 P6:R6 AA6:AA8"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AddRowsToTableWithUserInput" altText="HUMIDIFICATION">
                <anchor moveWithCells="1" sizeWithCells="1">
                  <from>
                    <xdr:col>0</xdr:col>
                    <xdr:colOff>449580</xdr:colOff>
                    <xdr:row>0</xdr:row>
                    <xdr:rowOff>60960</xdr:rowOff>
                  </from>
                  <to>
                    <xdr:col>1</xdr:col>
                    <xdr:colOff>434340</xdr:colOff>
                    <xdr:row>2</xdr:row>
                    <xdr:rowOff>114300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800C0DD7-8325-4E4B-AA3E-F31FD530CC7A}">
            <x14:dataBar minLength="0" maxLength="100" border="1" negativeBarBorderColorSameAsPositive="0">
              <x14:cfvo type="autoMin"/>
              <x14:cfvo type="autoMax"/>
              <x14:borderColor rgb="FF638EC6"/>
              <x14:negativeFillColor rgb="FFFF0000"/>
              <x14:negativeBorderColor rgb="FFFF0000"/>
              <x14:axisColor rgb="FF000000"/>
            </x14:dataBar>
          </x14:cfRule>
          <xm:sqref>AA6:AA11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EC3E4FB5-80AC-447F-8340-73BBEE55BD36}">
          <x14:formula1>
            <xm:f>CALIFORNIA_TABLE!$A$2:$A$77</xm:f>
          </x14:formula1>
          <xm:sqref>M6:M10</xm:sqref>
        </x14:dataValidation>
        <x14:dataValidation type="list" allowBlank="1" showInputMessage="1" showErrorMessage="1" xr:uid="{20BDC766-88E0-434C-BC82-6F32CB269DCC}">
          <x14:formula1>
            <xm:f>CALIFORNIA_TABLE!$O$4:$O$5</xm:f>
          </x14:formula1>
          <xm:sqref>N8:N10 N6 K1 E6:E10</xm:sqref>
        </x14:dataValidation>
        <x14:dataValidation type="list" allowBlank="1" showInputMessage="1" showErrorMessage="1" xr:uid="{0322B58E-C623-4957-93D4-DEC81C06832F}">
          <x14:formula1>
            <xm:f>CALIFORNIA_TABLE!$I$2:$I$27</xm:f>
          </x14:formula1>
          <xm:sqref>K6:K10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58DF5-4A53-4078-96E3-1E1752E50D71}">
  <sheetPr codeName="Sheet15">
    <tabColor rgb="FF0070C0"/>
  </sheetPr>
  <dimension ref="A3:M11"/>
  <sheetViews>
    <sheetView workbookViewId="0">
      <selection activeCell="I13" sqref="I13"/>
    </sheetView>
  </sheetViews>
  <sheetFormatPr defaultRowHeight="13.2"/>
  <cols>
    <col min="1" max="1" width="18" style="52" bestFit="1" customWidth="1"/>
    <col min="2" max="2" width="15.33203125" style="52" bestFit="1" customWidth="1"/>
    <col min="3" max="3" width="30.6640625" style="52" bestFit="1" customWidth="1"/>
    <col min="4" max="4" width="9.88671875" style="52" bestFit="1" customWidth="1"/>
    <col min="5" max="6" width="11.33203125" style="52" bestFit="1" customWidth="1"/>
    <col min="7" max="7" width="40.88671875" style="52" bestFit="1" customWidth="1"/>
    <col min="8" max="9" width="29.44140625" style="52" bestFit="1" customWidth="1"/>
    <col min="10" max="10" width="29.5546875" style="52" bestFit="1" customWidth="1"/>
    <col min="11" max="13" width="9.109375" style="52"/>
  </cols>
  <sheetData>
    <row r="3" spans="1:10">
      <c r="A3" s="51" t="s">
        <v>717</v>
      </c>
      <c r="B3" s="51" t="s">
        <v>718</v>
      </c>
      <c r="C3" s="51" t="s">
        <v>727</v>
      </c>
      <c r="D3" s="51" t="s">
        <v>1</v>
      </c>
      <c r="E3" s="51" t="s">
        <v>146</v>
      </c>
      <c r="F3" s="51" t="s">
        <v>148</v>
      </c>
      <c r="G3" s="51" t="s">
        <v>728</v>
      </c>
      <c r="H3" s="51" t="s">
        <v>721</v>
      </c>
      <c r="I3" s="51" t="s">
        <v>720</v>
      </c>
      <c r="J3" s="51" t="s">
        <v>719</v>
      </c>
    </row>
    <row r="4" spans="1:10" ht="13.8">
      <c r="A4" s="276"/>
      <c r="B4" s="275"/>
      <c r="C4" s="275"/>
      <c r="D4" s="275"/>
      <c r="E4" s="275">
        <f>INPUT_OUTPUTS!$C$14</f>
        <v>42</v>
      </c>
      <c r="F4" s="275">
        <f>INPUT_OUTPUTS!$C$15</f>
        <v>56</v>
      </c>
      <c r="G4" s="275">
        <f>Table25[[#This Row],[CHILLER CAPACITY (TONS)]]*1.25*12000</f>
        <v>0</v>
      </c>
      <c r="H4" s="275"/>
      <c r="I4" s="275"/>
      <c r="J4" s="275"/>
    </row>
    <row r="5" spans="1:10" ht="21" customHeight="1"/>
    <row r="10" spans="1:10">
      <c r="A10" s="51" t="s">
        <v>722</v>
      </c>
      <c r="B10" s="51" t="s">
        <v>718</v>
      </c>
      <c r="C10" s="51" t="s">
        <v>726</v>
      </c>
      <c r="D10" s="51" t="s">
        <v>1</v>
      </c>
      <c r="E10" s="51" t="s">
        <v>149</v>
      </c>
      <c r="F10" s="51" t="s">
        <v>150</v>
      </c>
      <c r="G10" s="51" t="s">
        <v>723</v>
      </c>
      <c r="H10" s="51" t="s">
        <v>724</v>
      </c>
      <c r="I10" s="51" t="s">
        <v>725</v>
      </c>
    </row>
    <row r="11" spans="1:10" ht="13.8">
      <c r="A11" s="276"/>
      <c r="B11" s="275"/>
      <c r="C11" s="275"/>
      <c r="D11" s="275"/>
      <c r="E11" s="275">
        <f>INPUT_OUTPUTS!$C$16</f>
        <v>140</v>
      </c>
      <c r="F11" s="275">
        <f>INPUT_OUTPUTS!$C$17</f>
        <v>110</v>
      </c>
      <c r="G11" s="275"/>
      <c r="H11" s="275"/>
      <c r="I11" s="275"/>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F07B-C762-48BB-980B-AC18ECA888C5}">
  <sheetPr codeName="Sheet6">
    <pageSetUpPr fitToPage="1"/>
  </sheetPr>
  <dimension ref="A3:M13"/>
  <sheetViews>
    <sheetView zoomScale="87" zoomScaleNormal="87" workbookViewId="0">
      <selection activeCell="J18" sqref="J18"/>
    </sheetView>
  </sheetViews>
  <sheetFormatPr defaultColWidth="9.109375" defaultRowHeight="13.2"/>
  <cols>
    <col min="1" max="1" width="18.77734375" style="317" bestFit="1" customWidth="1"/>
    <col min="2" max="2" width="17.88671875" style="317" customWidth="1"/>
    <col min="3" max="3" width="13.5546875" style="317" customWidth="1"/>
    <col min="4" max="4" width="12.88671875" style="317" customWidth="1"/>
    <col min="5" max="5" width="13.6640625" style="317" customWidth="1"/>
    <col min="6" max="6" width="22.44140625" style="317" customWidth="1"/>
    <col min="7" max="7" width="24.21875" style="317" customWidth="1"/>
    <col min="8" max="8" width="18.5546875" style="317" customWidth="1"/>
    <col min="9" max="9" width="16.5546875" style="317" customWidth="1"/>
    <col min="10" max="10" width="18.33203125" style="317" customWidth="1"/>
    <col min="11" max="11" width="19.44140625" style="317" bestFit="1" customWidth="1"/>
    <col min="12" max="12" width="22.77734375" style="317" bestFit="1" customWidth="1"/>
    <col min="13" max="13" width="20.88671875" style="317" bestFit="1" customWidth="1"/>
    <col min="14" max="16384" width="9.109375" style="317"/>
  </cols>
  <sheetData>
    <row r="3" spans="1:13" ht="26.4">
      <c r="A3" s="315" t="s">
        <v>702</v>
      </c>
      <c r="B3" s="315" t="s">
        <v>701</v>
      </c>
      <c r="C3" s="315" t="s">
        <v>781</v>
      </c>
      <c r="D3" s="315" t="s">
        <v>782</v>
      </c>
      <c r="E3" s="315" t="s">
        <v>700</v>
      </c>
      <c r="F3" s="316" t="s">
        <v>699</v>
      </c>
      <c r="G3" s="315" t="s">
        <v>778</v>
      </c>
      <c r="H3" s="315" t="s">
        <v>783</v>
      </c>
      <c r="I3" s="315" t="s">
        <v>780</v>
      </c>
      <c r="J3" s="315" t="s">
        <v>698</v>
      </c>
      <c r="K3" s="315" t="s">
        <v>790</v>
      </c>
      <c r="L3" s="315" t="s">
        <v>779</v>
      </c>
    </row>
    <row r="4" spans="1:13" ht="13.8">
      <c r="A4" s="266" t="s">
        <v>697</v>
      </c>
      <c r="B4" s="267">
        <v>101</v>
      </c>
      <c r="C4" s="267">
        <v>75</v>
      </c>
      <c r="D4" s="267">
        <v>60</v>
      </c>
      <c r="E4" s="313">
        <v>500</v>
      </c>
      <c r="F4" s="313">
        <v>10</v>
      </c>
      <c r="G4" s="313">
        <v>3500</v>
      </c>
      <c r="H4" s="270">
        <v>3000</v>
      </c>
      <c r="I4" s="270">
        <v>400</v>
      </c>
      <c r="J4" s="318">
        <f>(FCU_Heat_Generating_Equipment[[#Totals],[Total 
BTUs]]*0.29307107)/FCU_Base_Data[[#This Row],[Area
(ft2)]]</f>
        <v>0</v>
      </c>
      <c r="K4" s="319">
        <f>FCU_Base_Data[[#This Row],[Envelope Sensible Load 
(BTU/HR)]]+FCU_Heat_Generating_Equipment[[#Totals],[Total 
BTUs]]+(1.1*FCU_Base_Data[[#This Row],[Make up Air or OA required (CFM)]]*(INPUT_OUTPUTS!C8-FCU_Base_Data[[#This Row],[Room Temp DB]]))</f>
        <v>10100</v>
      </c>
      <c r="L4" s="320" cm="1">
        <f t="array" ref="L4">totalLatentLoad(FCU_Base_Data[[#This Row],[Envelope Latent Load 
(BTU/HR)]],FCU_Base_Data[[#This Row],[Room Temp DB]],FCU_Base_Data[[#This Row],[Room Temp WB]],INPUT_OUTPUTS!G6,FCU_Base_Data[[#This Row],[Make up Air or OA required (CFM)]],INPUT_OUTPUTS!C8,INPUT_OUTPUTS!C9,INPUT_OUTPUTS!C10,INPUT_OUTPUTS!C11)</f>
        <v>22990.742446651013</v>
      </c>
    </row>
    <row r="5" spans="1:13">
      <c r="A5" s="321"/>
      <c r="B5" s="321"/>
      <c r="C5" s="321"/>
      <c r="D5" s="321"/>
      <c r="E5" s="321"/>
      <c r="F5" s="321"/>
      <c r="G5" s="321"/>
      <c r="H5" s="321"/>
      <c r="I5" s="321"/>
      <c r="J5" s="321"/>
      <c r="K5" s="321"/>
      <c r="L5" s="319"/>
      <c r="M5" s="320"/>
    </row>
    <row r="7" spans="1:13" ht="22.8">
      <c r="A7" s="525" t="s">
        <v>696</v>
      </c>
      <c r="B7" s="525"/>
      <c r="C7" s="525"/>
      <c r="D7" s="525"/>
      <c r="E7" s="525"/>
      <c r="F7" s="525"/>
      <c r="G7" s="525"/>
      <c r="H7" s="525"/>
      <c r="I7" s="525"/>
      <c r="J7" s="525"/>
      <c r="K7" s="525"/>
      <c r="L7" s="525"/>
    </row>
    <row r="8" spans="1:13">
      <c r="A8" s="322"/>
      <c r="B8" s="526" t="s">
        <v>695</v>
      </c>
      <c r="C8" s="526"/>
      <c r="D8" s="526" t="s">
        <v>681</v>
      </c>
      <c r="E8" s="526"/>
      <c r="F8" s="526" t="s">
        <v>694</v>
      </c>
      <c r="G8" s="526"/>
      <c r="H8" s="526"/>
      <c r="I8" s="322"/>
      <c r="J8" s="322"/>
      <c r="K8" s="322"/>
      <c r="L8" s="322"/>
    </row>
    <row r="9" spans="1:13" ht="39.6">
      <c r="A9" s="323" t="s">
        <v>693</v>
      </c>
      <c r="B9" s="324" t="s">
        <v>692</v>
      </c>
      <c r="C9" s="324" t="s">
        <v>691</v>
      </c>
      <c r="D9" s="324" t="s">
        <v>690</v>
      </c>
      <c r="E9" s="324" t="s">
        <v>689</v>
      </c>
      <c r="F9" s="324" t="s">
        <v>688</v>
      </c>
      <c r="G9" s="324" t="s">
        <v>687</v>
      </c>
      <c r="H9" s="324" t="s">
        <v>686</v>
      </c>
      <c r="I9" s="324" t="s">
        <v>685</v>
      </c>
      <c r="J9" s="324" t="s">
        <v>684</v>
      </c>
      <c r="K9" s="324" t="s">
        <v>683</v>
      </c>
      <c r="L9" s="324" t="s">
        <v>682</v>
      </c>
    </row>
    <row r="10" spans="1:13" ht="13.8">
      <c r="A10" s="266" t="s">
        <v>681</v>
      </c>
      <c r="B10" s="314">
        <v>0</v>
      </c>
      <c r="C10" s="314">
        <v>0</v>
      </c>
      <c r="D10" s="314">
        <v>0</v>
      </c>
      <c r="E10" s="269">
        <v>0</v>
      </c>
      <c r="F10" s="314">
        <v>0</v>
      </c>
      <c r="G10" s="314">
        <v>0</v>
      </c>
      <c r="H10" s="314">
        <v>0</v>
      </c>
      <c r="I10" s="325">
        <f t="shared" ref="I10:I12" si="0">D10*(1-E10)*3412.14</f>
        <v>0</v>
      </c>
      <c r="J10" s="326">
        <f t="shared" ref="J10:J12" si="1">C10*3.41</f>
        <v>0</v>
      </c>
      <c r="K10" s="325">
        <f>FCU_Heat_Generating_Equipment[[#This Row],[Server Load 
(Watts)]]*FCU_Heat_Generating_Equipment[[#This Row],[Server Diversity]]*3.41*FCU_Heat_Generating_Equipment[[#This Row],[Number of Servers]]</f>
        <v>0</v>
      </c>
      <c r="L10" s="327">
        <f>MROUND(SUM(FCU_Heat_Generating_Equipment[[#This Row],[General Equipment 
(BTU/HR)]],FCU_Heat_Generating_Equipment[[#This Row],[Watts 
to BTUs]],FCU_Heat_Generating_Equipment[[#This Row],[Transformer 
BTUs]],FCU_Heat_Generating_Equipment[[#This Row],[Server Load 
(BTUs)]]),5)</f>
        <v>0</v>
      </c>
    </row>
    <row r="11" spans="1:13" ht="13.8">
      <c r="A11" s="266" t="s">
        <v>680</v>
      </c>
      <c r="B11" s="314">
        <v>0</v>
      </c>
      <c r="C11" s="314">
        <v>0</v>
      </c>
      <c r="D11" s="314">
        <v>0</v>
      </c>
      <c r="E11" s="268">
        <v>0</v>
      </c>
      <c r="F11" s="314">
        <v>0</v>
      </c>
      <c r="G11" s="314">
        <v>0</v>
      </c>
      <c r="H11" s="314">
        <v>0</v>
      </c>
      <c r="I11" s="325">
        <f t="shared" si="0"/>
        <v>0</v>
      </c>
      <c r="J11" s="326">
        <f t="shared" si="1"/>
        <v>0</v>
      </c>
      <c r="K11" s="325">
        <f>FCU_Heat_Generating_Equipment[[#This Row],[Server Load 
(Watts)]]*FCU_Heat_Generating_Equipment[[#This Row],[Server Diversity]]*3.41*FCU_Heat_Generating_Equipment[[#This Row],[Number of Servers]]</f>
        <v>0</v>
      </c>
      <c r="L11" s="327">
        <f>MROUND(SUM(FCU_Heat_Generating_Equipment[[#This Row],[General Equipment 
(BTU/HR)]],FCU_Heat_Generating_Equipment[[#This Row],[Watts 
to BTUs]],FCU_Heat_Generating_Equipment[[#This Row],[Transformer 
BTUs]],FCU_Heat_Generating_Equipment[[#This Row],[Server Load 
(BTUs)]]),5)</f>
        <v>0</v>
      </c>
    </row>
    <row r="12" spans="1:13" ht="13.8">
      <c r="A12" s="266" t="s">
        <v>679</v>
      </c>
      <c r="B12" s="314">
        <v>0</v>
      </c>
      <c r="C12" s="314">
        <v>0</v>
      </c>
      <c r="D12" s="314">
        <v>0</v>
      </c>
      <c r="E12" s="268">
        <v>0</v>
      </c>
      <c r="F12" s="314">
        <v>0</v>
      </c>
      <c r="G12" s="314">
        <v>0</v>
      </c>
      <c r="H12" s="314">
        <v>0</v>
      </c>
      <c r="I12" s="325">
        <f t="shared" si="0"/>
        <v>0</v>
      </c>
      <c r="J12" s="326">
        <f t="shared" si="1"/>
        <v>0</v>
      </c>
      <c r="K12" s="325">
        <f>FCU_Heat_Generating_Equipment[[#This Row],[Server Load 
(Watts)]]*FCU_Heat_Generating_Equipment[[#This Row],[Server Diversity]]*3.41*FCU_Heat_Generating_Equipment[[#This Row],[Number of Servers]]</f>
        <v>0</v>
      </c>
      <c r="L12" s="327">
        <f>MROUND(SUM(FCU_Heat_Generating_Equipment[[#This Row],[General Equipment 
(BTU/HR)]],FCU_Heat_Generating_Equipment[[#This Row],[Watts 
to BTUs]],FCU_Heat_Generating_Equipment[[#This Row],[Transformer 
BTUs]],FCU_Heat_Generating_Equipment[[#This Row],[Server Load 
(BTUs)]]),5)</f>
        <v>0</v>
      </c>
    </row>
    <row r="13" spans="1:13" ht="15.6">
      <c r="A13" s="328" t="s">
        <v>678</v>
      </c>
      <c r="B13" s="329"/>
      <c r="C13" s="329"/>
      <c r="D13" s="329"/>
      <c r="E13" s="329"/>
      <c r="F13" s="329"/>
      <c r="G13" s="329"/>
      <c r="H13" s="329"/>
      <c r="I13" s="329"/>
      <c r="J13" s="329"/>
      <c r="K13" s="329"/>
      <c r="L13" s="328">
        <f>SUBTOTAL(109,FCU_Heat_Generating_Equipment[Total 
BTUs])</f>
        <v>0</v>
      </c>
    </row>
  </sheetData>
  <mergeCells count="4">
    <mergeCell ref="A7:L7"/>
    <mergeCell ref="D8:E8"/>
    <mergeCell ref="B8:C8"/>
    <mergeCell ref="F8:H8"/>
  </mergeCells>
  <conditionalFormatting sqref="B10:H12">
    <cfRule type="cellIs" dxfId="201" priority="1" operator="equal">
      <formula>0</formula>
    </cfRule>
  </conditionalFormatting>
  <pageMargins left="0.7" right="0.7" top="0.75" bottom="0.75" header="0.3" footer="0.3"/>
  <pageSetup scale="8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152" r:id="rId4" name="Button 8">
              <controlPr defaultSize="0" print="0" autoFill="0" autoPict="0" macro="[0]!AddRowsToTableFCU" altText="HUMIDIFICATION">
                <anchor moveWithCells="1" sizeWithCells="1">
                  <from>
                    <xdr:col>0</xdr:col>
                    <xdr:colOff>45720</xdr:colOff>
                    <xdr:row>5</xdr:row>
                    <xdr:rowOff>83820</xdr:rowOff>
                  </from>
                  <to>
                    <xdr:col>1</xdr:col>
                    <xdr:colOff>205740</xdr:colOff>
                    <xdr:row>6</xdr:row>
                    <xdr:rowOff>281940</xdr:rowOff>
                  </to>
                </anchor>
              </controlPr>
            </control>
          </mc:Choice>
        </mc:AlternateContent>
      </controls>
    </mc:Choice>
  </mc:AlternateContent>
  <tableParts count="2">
    <tablePart r:id="rId5"/>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7FE8B-6C2C-46AF-9E1D-2C4B7D142C33}">
  <sheetPr codeName="Sheet7">
    <tabColor rgb="FF0070C0"/>
    <pageSetUpPr fitToPage="1"/>
  </sheetPr>
  <dimension ref="A2:AC33"/>
  <sheetViews>
    <sheetView showGridLines="0" zoomScale="85" zoomScaleNormal="85" workbookViewId="0">
      <pane xSplit="1" ySplit="6" topLeftCell="B7" activePane="bottomRight" state="frozen"/>
      <selection pane="topRight" activeCell="B1" sqref="B1"/>
      <selection pane="bottomLeft" activeCell="A7" sqref="A7"/>
      <selection pane="bottomRight" activeCell="A18" sqref="A18"/>
    </sheetView>
  </sheetViews>
  <sheetFormatPr defaultColWidth="8.88671875" defaultRowHeight="13.2"/>
  <cols>
    <col min="1" max="1" width="10.44140625" bestFit="1" customWidth="1"/>
    <col min="2" max="2" width="11.33203125" customWidth="1"/>
    <col min="3" max="3" width="10.44140625" customWidth="1"/>
    <col min="4" max="4" width="12.21875" customWidth="1"/>
    <col min="5" max="5" width="13.77734375" customWidth="1"/>
    <col min="6" max="6" width="15.21875" customWidth="1"/>
    <col min="7" max="7" width="12.77734375" customWidth="1"/>
    <col min="8" max="8" width="10" customWidth="1"/>
    <col min="9" max="9" width="11.33203125" customWidth="1"/>
    <col min="10" max="10" width="14.109375" customWidth="1"/>
    <col min="11" max="11" width="14.44140625" bestFit="1" customWidth="1"/>
    <col min="12" max="12" width="12.109375" customWidth="1"/>
    <col min="13" max="13" width="10" bestFit="1" customWidth="1"/>
    <col min="14" max="14" width="9.33203125" customWidth="1"/>
    <col min="15" max="15" width="9.6640625" customWidth="1"/>
    <col min="16" max="16" width="12.88671875" customWidth="1"/>
    <col min="17" max="17" width="14.109375" bestFit="1" customWidth="1"/>
    <col min="18" max="18" width="10.5546875" bestFit="1" customWidth="1"/>
    <col min="19" max="19" width="16.88671875" bestFit="1" customWidth="1"/>
    <col min="20" max="21" width="9.44140625" customWidth="1"/>
    <col min="22" max="22" width="10" bestFit="1" customWidth="1"/>
    <col min="23" max="23" width="11.5546875" customWidth="1"/>
    <col min="24" max="24" width="10.5546875" customWidth="1"/>
    <col min="25" max="25" width="13.44140625" bestFit="1" customWidth="1"/>
    <col min="26" max="26" width="16.77734375" customWidth="1"/>
    <col min="27" max="28" width="14.5546875" customWidth="1"/>
    <col min="29" max="29" width="13.44140625" bestFit="1" customWidth="1"/>
  </cols>
  <sheetData>
    <row r="2" spans="1:29">
      <c r="B2" s="23"/>
      <c r="C2" s="23"/>
    </row>
    <row r="8" spans="1:29" s="17" customFormat="1" ht="12.9" customHeight="1">
      <c r="A8" s="513"/>
      <c r="B8" s="516" t="s">
        <v>177</v>
      </c>
      <c r="C8" s="516"/>
      <c r="D8" s="516"/>
      <c r="E8" s="516"/>
      <c r="F8" s="516"/>
      <c r="G8" s="516"/>
      <c r="H8" s="516"/>
      <c r="I8" s="516"/>
      <c r="J8" s="516"/>
      <c r="K8" s="516" t="s">
        <v>704</v>
      </c>
      <c r="L8" s="516"/>
      <c r="M8" s="516"/>
      <c r="N8" s="516"/>
      <c r="O8" s="516"/>
      <c r="P8" s="516"/>
      <c r="Q8" s="516"/>
      <c r="R8" s="516"/>
      <c r="S8" s="516"/>
      <c r="T8" s="516"/>
      <c r="U8" s="516"/>
      <c r="V8" s="516"/>
      <c r="W8" s="516" t="s">
        <v>705</v>
      </c>
      <c r="X8" s="516"/>
      <c r="Y8" s="516"/>
      <c r="Z8" s="516"/>
      <c r="AA8" s="516"/>
      <c r="AB8" s="516"/>
      <c r="AC8" s="516"/>
    </row>
    <row r="9" spans="1:29" s="11" customFormat="1" ht="32.25" customHeight="1">
      <c r="A9" s="513"/>
      <c r="B9" s="514" t="s">
        <v>703</v>
      </c>
      <c r="C9" s="514"/>
      <c r="D9" s="514"/>
      <c r="E9" s="514"/>
      <c r="F9" s="514"/>
      <c r="G9" s="514"/>
      <c r="H9" s="514"/>
      <c r="I9" s="514"/>
      <c r="J9" s="513" t="s">
        <v>182</v>
      </c>
      <c r="K9" s="514" t="s">
        <v>183</v>
      </c>
      <c r="L9" s="514"/>
      <c r="M9" s="514"/>
      <c r="N9" s="514"/>
      <c r="O9" s="514"/>
      <c r="P9" s="514"/>
      <c r="Q9" s="515" t="s">
        <v>706</v>
      </c>
      <c r="R9" s="515"/>
      <c r="S9" s="517" t="s">
        <v>184</v>
      </c>
      <c r="T9" s="513" t="s">
        <v>185</v>
      </c>
      <c r="U9" s="513"/>
      <c r="V9" s="513"/>
      <c r="W9" s="121"/>
      <c r="X9" s="122"/>
      <c r="Y9" s="122"/>
      <c r="Z9" s="122"/>
      <c r="AA9" s="122"/>
      <c r="AB9" s="122"/>
      <c r="AC9" s="123"/>
    </row>
    <row r="10" spans="1:29" s="11" customFormat="1" ht="26.4">
      <c r="A10" s="513"/>
      <c r="B10" s="121" t="s">
        <v>192</v>
      </c>
      <c r="C10" s="509" t="s">
        <v>193</v>
      </c>
      <c r="D10" s="509"/>
      <c r="E10" s="508"/>
      <c r="F10" s="507" t="s">
        <v>709</v>
      </c>
      <c r="G10" s="509"/>
      <c r="H10" s="508"/>
      <c r="I10" s="121" t="s">
        <v>196</v>
      </c>
      <c r="J10" s="513"/>
      <c r="K10" s="513" t="s">
        <v>197</v>
      </c>
      <c r="L10" s="513"/>
      <c r="M10" s="513"/>
      <c r="N10" s="513" t="s">
        <v>198</v>
      </c>
      <c r="O10" s="513"/>
      <c r="P10" s="513"/>
      <c r="Q10" s="121" t="s">
        <v>199</v>
      </c>
      <c r="R10" s="121" t="s">
        <v>200</v>
      </c>
      <c r="S10" s="517"/>
      <c r="T10" s="513"/>
      <c r="U10" s="513"/>
      <c r="V10" s="513"/>
      <c r="W10" s="121" t="s">
        <v>203</v>
      </c>
      <c r="X10" s="121" t="s">
        <v>197</v>
      </c>
      <c r="Y10" s="121" t="s">
        <v>204</v>
      </c>
      <c r="Z10" s="121" t="s">
        <v>199</v>
      </c>
      <c r="AA10" s="124" t="s">
        <v>52</v>
      </c>
      <c r="AB10" s="124" t="s">
        <v>201</v>
      </c>
      <c r="AC10" s="121" t="s">
        <v>1</v>
      </c>
    </row>
    <row r="11" spans="1:29" s="311" customFormat="1" ht="28.8">
      <c r="A11" s="125" t="s">
        <v>205</v>
      </c>
      <c r="B11" s="308" t="s">
        <v>754</v>
      </c>
      <c r="C11" s="308" t="s">
        <v>755</v>
      </c>
      <c r="D11" s="308" t="s">
        <v>756</v>
      </c>
      <c r="E11" s="308" t="s">
        <v>757</v>
      </c>
      <c r="F11" s="308" t="s">
        <v>758</v>
      </c>
      <c r="G11" s="309" t="s">
        <v>759</v>
      </c>
      <c r="H11" s="309" t="s">
        <v>760</v>
      </c>
      <c r="I11" s="309" t="s">
        <v>761</v>
      </c>
      <c r="J11" s="308" t="s">
        <v>762</v>
      </c>
      <c r="K11" s="309" t="s">
        <v>763</v>
      </c>
      <c r="L11" s="309" t="s">
        <v>764</v>
      </c>
      <c r="M11" s="309" t="s">
        <v>765</v>
      </c>
      <c r="N11" s="309" t="s">
        <v>766</v>
      </c>
      <c r="O11" s="309" t="s">
        <v>767</v>
      </c>
      <c r="P11" s="309" t="s">
        <v>768</v>
      </c>
      <c r="Q11" s="308" t="s">
        <v>769</v>
      </c>
      <c r="R11" s="308" t="s">
        <v>678</v>
      </c>
      <c r="S11" s="312" t="s">
        <v>770</v>
      </c>
      <c r="T11" s="312" t="s">
        <v>52</v>
      </c>
      <c r="U11" s="312" t="s">
        <v>201</v>
      </c>
      <c r="V11" s="310" t="s">
        <v>1</v>
      </c>
      <c r="W11" s="312" t="s">
        <v>771</v>
      </c>
      <c r="X11" s="309" t="s">
        <v>772</v>
      </c>
      <c r="Y11" s="309" t="s">
        <v>773</v>
      </c>
      <c r="Z11" s="308" t="s">
        <v>774</v>
      </c>
      <c r="AA11" s="312" t="s">
        <v>775</v>
      </c>
      <c r="AB11" s="312" t="s">
        <v>776</v>
      </c>
      <c r="AC11" s="309" t="s">
        <v>777</v>
      </c>
    </row>
    <row r="12" spans="1:29" s="11" customFormat="1" ht="13.8" hidden="1">
      <c r="A12" s="130"/>
      <c r="B12" s="131">
        <f>MROUND(FCU_Schedules[[#This Row],[Total Load]]/(4.5*(FCU_Schedules[[#This Row],[Mixed Air Enthalpy]]-FCU_Schedules[[#This Row],[Leaving air Enthalpy]])),5)</f>
        <v>0</v>
      </c>
      <c r="C12" s="131">
        <f>FCU_Schedules[[#This Row],[Supply CFM]]-FCU_Schedules[[#This Row],[Outside Air CFM]]</f>
        <v>0</v>
      </c>
      <c r="D12" s="131">
        <v>78</v>
      </c>
      <c r="E12" s="131">
        <v>60</v>
      </c>
      <c r="F12" s="131"/>
      <c r="G12" s="123">
        <f>INPUT_OUTPUTS!$C$8</f>
        <v>90</v>
      </c>
      <c r="H12" s="123">
        <f>INPUT_OUTPUTS!$C$9</f>
        <v>65</v>
      </c>
      <c r="I12" s="123">
        <f>INPUT_OUTPUTS!$F$8</f>
        <v>26</v>
      </c>
      <c r="J12" s="131">
        <f>C12+F12-B12</f>
        <v>0</v>
      </c>
      <c r="K12" s="123">
        <f>FCU_Schedules[[#This Row],[Return Drybulb]]</f>
        <v>78</v>
      </c>
      <c r="L12" s="123">
        <f>FCU_Schedules[[#This Row],[Return Wetbulb]]</f>
        <v>60</v>
      </c>
      <c r="M12" s="123" cm="1">
        <f t="array" ref="M12">GetMoistAirEnthalpy(FCU_Schedules[[#This Row],[Mixed air DB]],(GetHumRatioFromTWetBulb(FCU_Schedules[[#This Row],[Mixed air DB]],FCU_Schedules[[#This Row],[Mixed air WB]],GetStandardAtmPressure(INPUT_OUTPUTS!$G$6))))</f>
        <v>26.821311644956559</v>
      </c>
      <c r="N12" s="133">
        <v>55</v>
      </c>
      <c r="O12" s="133">
        <v>55</v>
      </c>
      <c r="P12" s="123" cm="1">
        <f t="array" ref="P12">GetMoistAirEnthalpy(FCU_Schedules[[#This Row],[Leaving Air DB]],(GetHumRatioFromTWetBulb(FCU_Schedules[[#This Row],[Leaving Air DB]],FCU_Schedules[[#This Row],[Leaving Air WB]],GetStandardAtmPressure(INPUT_OUTPUTS!$G$6))))</f>
        <v>23.617816820460035</v>
      </c>
      <c r="Q12" s="131"/>
      <c r="R12" s="131"/>
      <c r="S12" s="271">
        <f>IF(R12&lt;Q12,"INVALID POINT",R12/12000)</f>
        <v>0</v>
      </c>
      <c r="T12" s="124">
        <f>INPUT_OUTPUTS!$C$14</f>
        <v>42</v>
      </c>
      <c r="U12" s="124">
        <f>INPUT_OUTPUTS!$C$15</f>
        <v>56</v>
      </c>
      <c r="V12" s="134">
        <f>FCU_Schedules[[#This Row],[Total Load]]/(500*(FCU_Schedules[[#This Row],[LWT]]-FCU_Schedules[[#This Row],[EWT]]))</f>
        <v>0</v>
      </c>
      <c r="W12" s="133">
        <v>100</v>
      </c>
      <c r="X12" s="123">
        <f>(FCU_Schedules[[#This Row],[Winter Temp]]*FCU_Schedules[[#This Row],[Outside Air CFM]] + FCU_Schedules[[#This Row],[Return Drybulb]]*(FCU_Schedules[[#This Row],[Heating CFM]]-FCU_Schedules[[#This Row],[Outside Air CFM]]))/FCU_Schedules[[#This Row],[Heating CFM]]</f>
        <v>78</v>
      </c>
      <c r="Y12" s="133">
        <v>85</v>
      </c>
      <c r="Z12" s="137">
        <f>(FCU_Schedules[[#This Row],[Heating CFM]]*1.08*(FCU_Schedules[[#This Row],[Heating LAT]]-FCU_Schedules[[#This Row],[Mixed Air Heating ]]))/1000</f>
        <v>0.75600000000000001</v>
      </c>
      <c r="AA12" s="137">
        <f>INPUT_OUTPUTS!$C$16</f>
        <v>140</v>
      </c>
      <c r="AB12" s="137">
        <f>INPUT_OUTPUTS!$C$17</f>
        <v>110</v>
      </c>
      <c r="AC12" s="123">
        <f>(FCU_Schedules[[#This Row],[Heating Sensible Load]]*1000)/(500*(FCU_Schedules[[#This Row],[HWEWT]]-FCU_Schedules[[#This Row],[HWLWT]]))</f>
        <v>5.04E-2</v>
      </c>
    </row>
    <row r="13" spans="1:29" ht="15.6" thickBot="1">
      <c r="A13" s="18" t="s">
        <v>74</v>
      </c>
      <c r="B13" s="19">
        <f>SUBTOTAL(109,FCU_Schedules[Supply CFM])</f>
        <v>0</v>
      </c>
      <c r="C13" s="18"/>
      <c r="D13" s="20"/>
      <c r="E13" s="20"/>
      <c r="F13" s="18"/>
      <c r="G13" s="18"/>
      <c r="H13" s="18"/>
      <c r="I13" s="18"/>
      <c r="J13" s="18"/>
      <c r="K13" s="18"/>
      <c r="L13" s="18"/>
      <c r="M13" s="18"/>
      <c r="N13" s="18"/>
      <c r="O13" s="18"/>
      <c r="P13" s="18"/>
      <c r="Q13" s="18"/>
      <c r="R13" s="18"/>
      <c r="S13" s="18"/>
      <c r="T13" s="18"/>
      <c r="U13" s="18"/>
      <c r="V13" s="21">
        <f>SUBTOTAL(109,FCU_Schedules[GPM])</f>
        <v>0</v>
      </c>
      <c r="W13" s="21"/>
      <c r="X13" s="18"/>
      <c r="Y13" s="18"/>
      <c r="Z13" s="21">
        <f>SUBTOTAL(109,FCU_Schedules[Heating Sensible Load])</f>
        <v>0</v>
      </c>
      <c r="AA13" s="21"/>
      <c r="AB13" s="21"/>
      <c r="AC13" s="21">
        <f>SUBTOTAL(109,FCU_Schedules[HW GPM])</f>
        <v>0</v>
      </c>
    </row>
    <row r="14" spans="1:29" ht="13.8" thickTop="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c r="AA14" s="70"/>
      <c r="AB14" s="70"/>
      <c r="AC14" s="70"/>
    </row>
    <row r="15" spans="1:29" ht="13.8">
      <c r="O15" s="13"/>
      <c r="P15" s="13"/>
      <c r="V15" s="14"/>
      <c r="W15" s="14"/>
    </row>
    <row r="16" spans="1:29" ht="13.8">
      <c r="O16" s="13"/>
      <c r="P16" s="13"/>
      <c r="V16" s="14"/>
      <c r="W16" s="14"/>
    </row>
    <row r="17" spans="1:29">
      <c r="B17" s="11"/>
    </row>
    <row r="20" spans="1:29">
      <c r="J20" s="14"/>
    </row>
    <row r="22" spans="1:29">
      <c r="F22" s="11" t="s">
        <v>676</v>
      </c>
    </row>
    <row r="23" spans="1:29">
      <c r="E23" s="84"/>
      <c r="F23" s="14"/>
    </row>
    <row r="30" spans="1:29">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row>
    <row r="31" spans="1:29">
      <c r="A31" s="15"/>
      <c r="B31" s="15"/>
    </row>
    <row r="32" spans="1:29">
      <c r="A32" s="15"/>
      <c r="B32" s="14"/>
    </row>
    <row r="33" spans="1:1">
      <c r="A33" s="15"/>
    </row>
  </sheetData>
  <mergeCells count="14">
    <mergeCell ref="A8:A10"/>
    <mergeCell ref="B8:J8"/>
    <mergeCell ref="K8:V8"/>
    <mergeCell ref="C10:E10"/>
    <mergeCell ref="F10:H10"/>
    <mergeCell ref="K10:M10"/>
    <mergeCell ref="N10:P10"/>
    <mergeCell ref="W8:AC8"/>
    <mergeCell ref="B9:I9"/>
    <mergeCell ref="J9:J10"/>
    <mergeCell ref="K9:P9"/>
    <mergeCell ref="Q9:R9"/>
    <mergeCell ref="S9:S10"/>
    <mergeCell ref="T9:V10"/>
  </mergeCells>
  <dataValidations count="1">
    <dataValidation type="decimal" operator="greaterThan" allowBlank="1" showInputMessage="1" showErrorMessage="1" sqref="D12:E12 N12:O12" xr:uid="{36B62E85-565F-4FA5-984C-03E737B00EF1}">
      <formula1>1</formula1>
    </dataValidation>
  </dataValidations>
  <pageMargins left="0.25" right="0.25" top="0.75" bottom="0.75" header="0.3" footer="0.3"/>
  <pageSetup paperSize="119" scale="27" fitToHeight="0" orientation="landscape" r:id="rId1"/>
  <ignoredErrors>
    <ignoredError sqref="B12" calculatedColumn="1"/>
  </ignoredErrors>
  <legacy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76C1-8F95-4E79-A731-8DE42DAC76AE}">
  <sheetPr codeName="Sheet16"/>
  <dimension ref="A1:O77"/>
  <sheetViews>
    <sheetView zoomScale="115" zoomScaleNormal="115" workbookViewId="0">
      <selection activeCell="H5" sqref="H5"/>
    </sheetView>
  </sheetViews>
  <sheetFormatPr defaultRowHeight="13.8"/>
  <cols>
    <col min="1" max="1" width="47.21875" style="331" bestFit="1" customWidth="1"/>
    <col min="2" max="2" width="14.88671875" style="331" customWidth="1"/>
    <col min="3" max="3" width="18.6640625" style="331" customWidth="1"/>
    <col min="4" max="4" width="12" style="331" bestFit="1" customWidth="1"/>
    <col min="5" max="6" width="8.88671875" style="330"/>
    <col min="7" max="7" width="10.88671875" style="330" customWidth="1"/>
    <col min="8" max="8" width="14.77734375" style="330" customWidth="1"/>
    <col min="9" max="9" width="15.88671875" style="330" customWidth="1"/>
    <col min="10" max="10" width="10.77734375" style="330" customWidth="1"/>
    <col min="11" max="16384" width="8.88671875" style="330"/>
  </cols>
  <sheetData>
    <row r="1" spans="1:15" s="333" customFormat="1" ht="43.2">
      <c r="A1" s="334" t="s">
        <v>877</v>
      </c>
      <c r="B1" s="334" t="s">
        <v>876</v>
      </c>
      <c r="C1" s="334" t="s">
        <v>875</v>
      </c>
      <c r="D1" s="334" t="s">
        <v>27</v>
      </c>
      <c r="E1" s="334" t="s">
        <v>35</v>
      </c>
      <c r="F1" s="334" t="s">
        <v>266</v>
      </c>
      <c r="G1" s="334" t="s">
        <v>927</v>
      </c>
      <c r="I1" s="338" t="s">
        <v>877</v>
      </c>
      <c r="J1" s="338" t="s">
        <v>885</v>
      </c>
      <c r="K1" s="338" t="s">
        <v>914</v>
      </c>
      <c r="L1" s="338" t="s">
        <v>265</v>
      </c>
      <c r="M1" s="338" t="s">
        <v>269</v>
      </c>
      <c r="N1" s="330"/>
    </row>
    <row r="2" spans="1:15">
      <c r="A2" s="332" t="s">
        <v>874</v>
      </c>
      <c r="B2" s="332">
        <v>0.21</v>
      </c>
      <c r="C2" s="332">
        <v>0.15</v>
      </c>
      <c r="D2" s="332">
        <v>2</v>
      </c>
      <c r="E2" s="332" t="s">
        <v>46</v>
      </c>
      <c r="F2" s="332" t="s">
        <v>46</v>
      </c>
      <c r="G2" s="332">
        <v>14</v>
      </c>
      <c r="I2" s="337" t="s">
        <v>886</v>
      </c>
      <c r="J2" s="337" t="s">
        <v>154</v>
      </c>
      <c r="K2" s="337">
        <v>0.5</v>
      </c>
      <c r="L2" s="337">
        <v>1</v>
      </c>
      <c r="M2" s="337" t="s">
        <v>291</v>
      </c>
    </row>
    <row r="3" spans="1:15">
      <c r="A3" s="332" t="s">
        <v>873</v>
      </c>
      <c r="B3" s="332">
        <v>0.15</v>
      </c>
      <c r="C3" s="332"/>
      <c r="D3" s="332">
        <v>3</v>
      </c>
      <c r="E3" s="332" t="s">
        <v>46</v>
      </c>
      <c r="F3" s="332" t="s">
        <v>46</v>
      </c>
      <c r="G3" s="332">
        <v>5</v>
      </c>
      <c r="I3" s="337" t="s">
        <v>888</v>
      </c>
      <c r="J3" s="337" t="s">
        <v>887</v>
      </c>
      <c r="K3" s="337">
        <v>0.7</v>
      </c>
      <c r="L3" s="337">
        <v>2</v>
      </c>
      <c r="M3" s="337"/>
    </row>
    <row r="4" spans="1:15" ht="15.6">
      <c r="A4" s="332" t="s">
        <v>872</v>
      </c>
      <c r="B4" s="332">
        <v>0.38</v>
      </c>
      <c r="C4" s="332">
        <v>0.15</v>
      </c>
      <c r="D4" s="332">
        <v>1</v>
      </c>
      <c r="E4" s="332" t="s">
        <v>46</v>
      </c>
      <c r="F4" s="332" t="s">
        <v>46</v>
      </c>
      <c r="G4" s="332">
        <v>25</v>
      </c>
      <c r="I4" s="337" t="s">
        <v>889</v>
      </c>
      <c r="J4" s="337" t="s">
        <v>887</v>
      </c>
      <c r="K4" s="337">
        <v>1.5</v>
      </c>
      <c r="L4" s="337">
        <v>2</v>
      </c>
      <c r="M4" s="337" t="s">
        <v>298</v>
      </c>
      <c r="O4" s="92" t="s">
        <v>108</v>
      </c>
    </row>
    <row r="5" spans="1:15" ht="15.6">
      <c r="A5" s="332" t="s">
        <v>871</v>
      </c>
      <c r="B5" s="332">
        <v>0.38</v>
      </c>
      <c r="C5" s="332">
        <v>0.15</v>
      </c>
      <c r="D5" s="332">
        <v>1</v>
      </c>
      <c r="E5" s="332" t="s">
        <v>46</v>
      </c>
      <c r="F5" s="332" t="s">
        <v>46</v>
      </c>
      <c r="G5" s="332">
        <v>25</v>
      </c>
      <c r="I5" s="337" t="s">
        <v>890</v>
      </c>
      <c r="J5" s="337" t="s">
        <v>887</v>
      </c>
      <c r="K5" s="337">
        <v>0.5</v>
      </c>
      <c r="L5" s="337">
        <v>2</v>
      </c>
      <c r="M5" s="337"/>
      <c r="O5" s="92" t="s">
        <v>46</v>
      </c>
    </row>
    <row r="6" spans="1:15">
      <c r="A6" s="332" t="s">
        <v>870</v>
      </c>
      <c r="B6" s="332">
        <v>0.38</v>
      </c>
      <c r="C6" s="332">
        <v>0.15</v>
      </c>
      <c r="D6" s="332">
        <v>1</v>
      </c>
      <c r="E6" s="332" t="s">
        <v>108</v>
      </c>
      <c r="F6" s="332" t="s">
        <v>46</v>
      </c>
      <c r="G6" s="332">
        <v>25</v>
      </c>
      <c r="I6" s="337" t="s">
        <v>891</v>
      </c>
      <c r="J6" s="337" t="s">
        <v>887</v>
      </c>
      <c r="K6" s="337">
        <v>0.6</v>
      </c>
      <c r="L6" s="337">
        <v>2</v>
      </c>
      <c r="M6" s="337"/>
    </row>
    <row r="7" spans="1:15">
      <c r="A7" s="332" t="s">
        <v>869</v>
      </c>
      <c r="B7" s="332">
        <v>0</v>
      </c>
      <c r="C7" s="332">
        <v>0.15</v>
      </c>
      <c r="D7" s="332">
        <v>1</v>
      </c>
      <c r="E7" s="332" t="s">
        <v>108</v>
      </c>
      <c r="F7" s="332" t="s">
        <v>46</v>
      </c>
      <c r="G7" s="332">
        <v>71</v>
      </c>
      <c r="I7" s="337" t="s">
        <v>892</v>
      </c>
      <c r="J7" s="337" t="s">
        <v>887</v>
      </c>
      <c r="K7" s="337">
        <v>1</v>
      </c>
      <c r="L7" s="337">
        <v>2</v>
      </c>
      <c r="M7" s="337"/>
    </row>
    <row r="8" spans="1:15">
      <c r="A8" s="332" t="s">
        <v>868</v>
      </c>
      <c r="B8" s="332">
        <v>0.15</v>
      </c>
      <c r="C8" s="332"/>
      <c r="D8" s="332">
        <v>2</v>
      </c>
      <c r="E8" s="332" t="s">
        <v>46</v>
      </c>
      <c r="F8" s="332" t="s">
        <v>46</v>
      </c>
      <c r="G8" s="332">
        <v>25</v>
      </c>
      <c r="I8" s="337" t="s">
        <v>893</v>
      </c>
      <c r="J8" s="337" t="s">
        <v>887</v>
      </c>
      <c r="K8" s="337">
        <v>0.5</v>
      </c>
      <c r="L8" s="337">
        <v>2</v>
      </c>
      <c r="M8" s="337"/>
    </row>
    <row r="9" spans="1:15">
      <c r="A9" s="332" t="s">
        <v>867</v>
      </c>
      <c r="B9" s="332">
        <v>0.15</v>
      </c>
      <c r="C9" s="332"/>
      <c r="D9" s="332">
        <v>2</v>
      </c>
      <c r="E9" s="332" t="s">
        <v>46</v>
      </c>
      <c r="F9" s="332" t="s">
        <v>46</v>
      </c>
      <c r="G9" s="332">
        <v>25</v>
      </c>
      <c r="I9" s="337" t="s">
        <v>894</v>
      </c>
      <c r="J9" s="337" t="s">
        <v>887</v>
      </c>
      <c r="K9" s="337">
        <v>1</v>
      </c>
      <c r="L9" s="337">
        <v>2</v>
      </c>
      <c r="M9" s="337"/>
    </row>
    <row r="10" spans="1:15">
      <c r="A10" s="332" t="s">
        <v>866</v>
      </c>
      <c r="B10" s="332">
        <v>0.15</v>
      </c>
      <c r="C10" s="332"/>
      <c r="D10" s="332">
        <v>2</v>
      </c>
      <c r="E10" s="332" t="s">
        <v>46</v>
      </c>
      <c r="F10" s="332" t="s">
        <v>46</v>
      </c>
      <c r="G10" s="332">
        <v>25</v>
      </c>
      <c r="I10" s="337" t="s">
        <v>895</v>
      </c>
      <c r="J10" s="337" t="s">
        <v>887</v>
      </c>
      <c r="K10" s="337">
        <v>1</v>
      </c>
      <c r="L10" s="337">
        <v>2</v>
      </c>
      <c r="M10" s="337"/>
    </row>
    <row r="11" spans="1:15">
      <c r="A11" s="332" t="s">
        <v>866</v>
      </c>
      <c r="B11" s="332">
        <v>0.15</v>
      </c>
      <c r="C11" s="332"/>
      <c r="D11" s="332">
        <v>2</v>
      </c>
      <c r="E11" s="332" t="s">
        <v>46</v>
      </c>
      <c r="F11" s="332" t="s">
        <v>46</v>
      </c>
      <c r="G11" s="332">
        <v>10</v>
      </c>
      <c r="I11" s="337" t="s">
        <v>896</v>
      </c>
      <c r="J11" s="337" t="s">
        <v>887</v>
      </c>
      <c r="K11" s="337">
        <v>1</v>
      </c>
      <c r="L11" s="337">
        <v>3</v>
      </c>
      <c r="M11" s="337"/>
    </row>
    <row r="12" spans="1:15">
      <c r="A12" s="332" t="s">
        <v>865</v>
      </c>
      <c r="B12" s="332">
        <v>0.15</v>
      </c>
      <c r="C12" s="332"/>
      <c r="D12" s="332">
        <v>1</v>
      </c>
      <c r="E12" s="332" t="s">
        <v>46</v>
      </c>
      <c r="F12" s="332" t="s">
        <v>46</v>
      </c>
      <c r="G12" s="332">
        <v>25</v>
      </c>
      <c r="I12" s="337" t="s">
        <v>897</v>
      </c>
      <c r="J12" s="337" t="s">
        <v>887</v>
      </c>
      <c r="K12" s="337">
        <v>0.3</v>
      </c>
      <c r="L12" s="337">
        <v>2</v>
      </c>
      <c r="M12" s="337"/>
    </row>
    <row r="13" spans="1:15">
      <c r="A13" s="332" t="s">
        <v>864</v>
      </c>
      <c r="B13" s="332">
        <v>0.15</v>
      </c>
      <c r="C13" s="332"/>
      <c r="D13" s="332">
        <v>1</v>
      </c>
      <c r="E13" s="332" t="s">
        <v>46</v>
      </c>
      <c r="F13" s="332" t="s">
        <v>46</v>
      </c>
      <c r="G13" s="332">
        <v>25</v>
      </c>
      <c r="I13" s="337" t="s">
        <v>898</v>
      </c>
      <c r="J13" s="337" t="s">
        <v>887</v>
      </c>
      <c r="K13" s="337">
        <v>0.7</v>
      </c>
      <c r="L13" s="337">
        <v>2</v>
      </c>
      <c r="M13" s="337"/>
    </row>
    <row r="14" spans="1:15">
      <c r="A14" s="332" t="s">
        <v>863</v>
      </c>
      <c r="B14" s="332">
        <v>1.07</v>
      </c>
      <c r="C14" s="332">
        <v>0.15</v>
      </c>
      <c r="D14" s="332">
        <v>1</v>
      </c>
      <c r="E14" s="332" t="s">
        <v>108</v>
      </c>
      <c r="F14" s="332" t="s">
        <v>46</v>
      </c>
      <c r="G14" s="332">
        <v>33</v>
      </c>
      <c r="I14" s="337" t="s">
        <v>899</v>
      </c>
      <c r="J14" s="337" t="s">
        <v>887</v>
      </c>
      <c r="K14" s="337">
        <v>0.5</v>
      </c>
      <c r="L14" s="337">
        <v>2</v>
      </c>
      <c r="M14" s="337"/>
    </row>
    <row r="15" spans="1:15">
      <c r="A15" s="332" t="s">
        <v>862</v>
      </c>
      <c r="B15" s="332">
        <v>0.5</v>
      </c>
      <c r="C15" s="332">
        <v>0.15</v>
      </c>
      <c r="D15" s="332">
        <v>1</v>
      </c>
      <c r="E15" s="332" t="s">
        <v>108</v>
      </c>
      <c r="F15" s="332" t="s">
        <v>46</v>
      </c>
      <c r="G15" s="332">
        <v>33</v>
      </c>
      <c r="I15" s="337" t="s">
        <v>900</v>
      </c>
      <c r="J15" s="337" t="s">
        <v>887</v>
      </c>
      <c r="K15" s="337">
        <v>0.25</v>
      </c>
      <c r="L15" s="337">
        <v>2</v>
      </c>
      <c r="M15" s="337"/>
    </row>
    <row r="16" spans="1:15">
      <c r="A16" s="332" t="s">
        <v>861</v>
      </c>
      <c r="B16" s="332">
        <v>0.5</v>
      </c>
      <c r="C16" s="332">
        <v>0.15</v>
      </c>
      <c r="D16" s="332">
        <v>2</v>
      </c>
      <c r="E16" s="332" t="s">
        <v>46</v>
      </c>
      <c r="F16" s="332" t="s">
        <v>46</v>
      </c>
      <c r="G16" s="332">
        <v>33</v>
      </c>
      <c r="I16" s="337" t="s">
        <v>901</v>
      </c>
      <c r="J16" s="337">
        <v>50</v>
      </c>
      <c r="K16" s="337" t="s">
        <v>887</v>
      </c>
      <c r="L16" s="337">
        <v>2</v>
      </c>
      <c r="M16" s="337" t="s">
        <v>902</v>
      </c>
    </row>
    <row r="17" spans="1:13">
      <c r="A17" s="332" t="s">
        <v>860</v>
      </c>
      <c r="B17" s="332">
        <v>0.5</v>
      </c>
      <c r="C17" s="332">
        <v>0.15</v>
      </c>
      <c r="D17" s="332">
        <v>2</v>
      </c>
      <c r="E17" s="332" t="s">
        <v>46</v>
      </c>
      <c r="F17" s="332" t="s">
        <v>46</v>
      </c>
      <c r="G17" s="332">
        <v>33</v>
      </c>
      <c r="I17" s="337" t="s">
        <v>903</v>
      </c>
      <c r="J17" s="337" t="s">
        <v>887</v>
      </c>
      <c r="K17" s="337" t="s">
        <v>887</v>
      </c>
      <c r="L17" s="337">
        <v>4</v>
      </c>
      <c r="M17" s="337" t="s">
        <v>147</v>
      </c>
    </row>
    <row r="18" spans="1:13">
      <c r="A18" s="332" t="s">
        <v>859</v>
      </c>
      <c r="B18" s="332">
        <v>0.5</v>
      </c>
      <c r="C18" s="332">
        <v>0.2</v>
      </c>
      <c r="D18" s="332">
        <v>2</v>
      </c>
      <c r="E18" s="332" t="s">
        <v>46</v>
      </c>
      <c r="F18" s="332" t="s">
        <v>46</v>
      </c>
      <c r="G18" s="332">
        <v>33</v>
      </c>
      <c r="I18" s="337" t="s">
        <v>904</v>
      </c>
      <c r="J18" s="337" t="s">
        <v>887</v>
      </c>
      <c r="K18" s="337">
        <v>0.75</v>
      </c>
      <c r="L18" s="337">
        <v>2</v>
      </c>
      <c r="M18" s="337" t="s">
        <v>334</v>
      </c>
    </row>
    <row r="19" spans="1:13">
      <c r="A19" s="332" t="s">
        <v>858</v>
      </c>
      <c r="B19" s="332">
        <v>0.15</v>
      </c>
      <c r="C19" s="332"/>
      <c r="D19" s="332">
        <v>2</v>
      </c>
      <c r="E19" s="332" t="s">
        <v>46</v>
      </c>
      <c r="F19" s="332" t="s">
        <v>46</v>
      </c>
      <c r="G19" s="332">
        <v>3</v>
      </c>
      <c r="I19" s="337" t="s">
        <v>905</v>
      </c>
      <c r="J19" s="337" t="s">
        <v>887</v>
      </c>
      <c r="K19" s="337">
        <v>0.9</v>
      </c>
      <c r="L19" s="337">
        <v>2</v>
      </c>
      <c r="M19" s="337"/>
    </row>
    <row r="20" spans="1:13">
      <c r="A20" s="332" t="s">
        <v>857</v>
      </c>
      <c r="B20" s="332">
        <v>0.5</v>
      </c>
      <c r="C20" s="332">
        <v>0.15</v>
      </c>
      <c r="D20" s="332">
        <v>1</v>
      </c>
      <c r="E20" s="332" t="s">
        <v>108</v>
      </c>
      <c r="F20" s="332" t="s">
        <v>46</v>
      </c>
      <c r="G20" s="332">
        <v>33</v>
      </c>
      <c r="I20" s="337" t="s">
        <v>906</v>
      </c>
      <c r="J20" s="337" t="s">
        <v>887</v>
      </c>
      <c r="K20" s="337" t="s">
        <v>154</v>
      </c>
      <c r="L20" s="337">
        <v>3</v>
      </c>
      <c r="M20" s="337" t="s">
        <v>147</v>
      </c>
    </row>
    <row r="21" spans="1:13">
      <c r="A21" s="332" t="s">
        <v>856</v>
      </c>
      <c r="B21" s="332">
        <v>0.5</v>
      </c>
      <c r="C21" s="332">
        <v>0.15</v>
      </c>
      <c r="D21" s="332">
        <v>1</v>
      </c>
      <c r="E21" s="332" t="s">
        <v>108</v>
      </c>
      <c r="F21" s="332" t="s">
        <v>46</v>
      </c>
      <c r="G21" s="332">
        <v>33</v>
      </c>
      <c r="I21" s="337" t="s">
        <v>907</v>
      </c>
      <c r="J21" s="337" t="s">
        <v>887</v>
      </c>
      <c r="K21" s="337">
        <v>1</v>
      </c>
      <c r="L21" s="337">
        <v>3</v>
      </c>
      <c r="M21" s="337" t="s">
        <v>147</v>
      </c>
    </row>
    <row r="22" spans="1:13">
      <c r="A22" s="332" t="s">
        <v>855</v>
      </c>
      <c r="B22" s="332">
        <v>0.5</v>
      </c>
      <c r="C22" s="332">
        <v>0.15</v>
      </c>
      <c r="D22" s="332">
        <v>1</v>
      </c>
      <c r="E22" s="332" t="s">
        <v>108</v>
      </c>
      <c r="F22" s="332" t="s">
        <v>46</v>
      </c>
      <c r="G22" s="332">
        <v>33</v>
      </c>
      <c r="I22" s="337" t="s">
        <v>908</v>
      </c>
      <c r="J22" s="337" t="s">
        <v>887</v>
      </c>
      <c r="K22" s="337">
        <v>1.5</v>
      </c>
      <c r="L22" s="337">
        <v>4</v>
      </c>
      <c r="M22" s="337" t="s">
        <v>147</v>
      </c>
    </row>
    <row r="23" spans="1:13" hidden="1">
      <c r="A23" s="332" t="s">
        <v>854</v>
      </c>
      <c r="B23" s="332">
        <v>0.15</v>
      </c>
      <c r="C23" s="332"/>
      <c r="D23" s="332">
        <v>1</v>
      </c>
      <c r="E23" s="332" t="s">
        <v>108</v>
      </c>
      <c r="F23" s="332" t="s">
        <v>108</v>
      </c>
      <c r="G23" s="332"/>
      <c r="I23" s="337" t="s">
        <v>909</v>
      </c>
      <c r="J23" s="337" t="s">
        <v>910</v>
      </c>
      <c r="K23" s="337" t="s">
        <v>887</v>
      </c>
      <c r="L23" s="337">
        <v>2</v>
      </c>
      <c r="M23" s="337" t="s">
        <v>417</v>
      </c>
    </row>
    <row r="24" spans="1:13">
      <c r="A24" s="332" t="s">
        <v>853</v>
      </c>
      <c r="B24" s="332">
        <v>0.15</v>
      </c>
      <c r="C24" s="332"/>
      <c r="D24" s="332">
        <v>2</v>
      </c>
      <c r="E24" s="332" t="s">
        <v>108</v>
      </c>
      <c r="F24" s="332" t="s">
        <v>46</v>
      </c>
      <c r="G24" s="332">
        <v>2</v>
      </c>
      <c r="I24" s="337" t="s">
        <v>911</v>
      </c>
      <c r="J24" s="337">
        <v>70</v>
      </c>
      <c r="K24" s="337" t="s">
        <v>887</v>
      </c>
      <c r="L24" s="337">
        <v>2</v>
      </c>
      <c r="M24" s="337" t="s">
        <v>912</v>
      </c>
    </row>
    <row r="25" spans="1:13">
      <c r="A25" s="332" t="s">
        <v>852</v>
      </c>
      <c r="B25" s="332">
        <v>0.15</v>
      </c>
      <c r="C25" s="332"/>
      <c r="D25" s="332">
        <v>1</v>
      </c>
      <c r="E25" s="332" t="s">
        <v>108</v>
      </c>
      <c r="F25" s="332" t="s">
        <v>46</v>
      </c>
      <c r="G25" s="332">
        <v>3</v>
      </c>
      <c r="I25" s="337" t="s">
        <v>909</v>
      </c>
      <c r="J25" s="337">
        <v>50</v>
      </c>
      <c r="K25" s="337"/>
      <c r="L25" s="337"/>
      <c r="M25" s="337"/>
    </row>
    <row r="26" spans="1:13">
      <c r="A26" s="332" t="s">
        <v>851</v>
      </c>
      <c r="B26" s="332">
        <v>0.15</v>
      </c>
      <c r="C26" s="332"/>
      <c r="D26" s="332">
        <v>1</v>
      </c>
      <c r="E26" s="332" t="s">
        <v>108</v>
      </c>
      <c r="F26" s="332" t="s">
        <v>46</v>
      </c>
      <c r="G26" s="332">
        <v>5</v>
      </c>
      <c r="I26" s="337" t="s">
        <v>45</v>
      </c>
      <c r="J26" s="337">
        <v>0</v>
      </c>
      <c r="K26" s="337">
        <v>0</v>
      </c>
      <c r="L26" s="337">
        <v>0</v>
      </c>
      <c r="M26" s="337"/>
    </row>
    <row r="27" spans="1:13">
      <c r="A27" s="332" t="s">
        <v>850</v>
      </c>
      <c r="B27" s="332">
        <v>0.15</v>
      </c>
      <c r="C27" s="332"/>
      <c r="D27" s="332">
        <v>2</v>
      </c>
      <c r="E27" s="332" t="s">
        <v>46</v>
      </c>
      <c r="F27" s="332" t="s">
        <v>46</v>
      </c>
      <c r="G27" s="332">
        <v>5</v>
      </c>
      <c r="I27" s="337" t="s">
        <v>913</v>
      </c>
      <c r="J27" s="337" t="s">
        <v>887</v>
      </c>
      <c r="K27" s="337">
        <v>0.5</v>
      </c>
      <c r="L27" s="337">
        <v>2</v>
      </c>
      <c r="M27" s="337"/>
    </row>
    <row r="28" spans="1:13">
      <c r="A28" s="332" t="s">
        <v>849</v>
      </c>
      <c r="B28" s="332">
        <v>0.15</v>
      </c>
      <c r="C28" s="332"/>
      <c r="D28" s="332">
        <v>1</v>
      </c>
      <c r="E28" s="332" t="s">
        <v>46</v>
      </c>
      <c r="F28" s="332" t="s">
        <v>46</v>
      </c>
      <c r="G28" s="332">
        <v>5</v>
      </c>
    </row>
    <row r="29" spans="1:13">
      <c r="A29" s="332" t="s">
        <v>848</v>
      </c>
      <c r="B29" s="332">
        <v>0.5</v>
      </c>
      <c r="C29" s="332">
        <v>0.15</v>
      </c>
      <c r="D29" s="332">
        <v>1</v>
      </c>
      <c r="E29" s="332" t="s">
        <v>108</v>
      </c>
      <c r="F29" s="332" t="s">
        <v>46</v>
      </c>
      <c r="G29" s="332">
        <v>33</v>
      </c>
    </row>
    <row r="30" spans="1:13">
      <c r="A30" s="332" t="s">
        <v>847</v>
      </c>
      <c r="B30" s="332">
        <v>0.5</v>
      </c>
      <c r="C30" s="332"/>
      <c r="D30" s="332">
        <v>1</v>
      </c>
      <c r="E30" s="332" t="s">
        <v>108</v>
      </c>
      <c r="F30" s="332" t="s">
        <v>46</v>
      </c>
      <c r="G30" s="332">
        <v>33</v>
      </c>
    </row>
    <row r="31" spans="1:13">
      <c r="A31" s="332" t="s">
        <v>846</v>
      </c>
      <c r="B31" s="332">
        <v>0.5</v>
      </c>
      <c r="C31" s="332">
        <v>0.15</v>
      </c>
      <c r="D31" s="332">
        <v>1</v>
      </c>
      <c r="E31" s="332" t="s">
        <v>46</v>
      </c>
      <c r="F31" s="332" t="s">
        <v>46</v>
      </c>
      <c r="G31" s="332">
        <v>33</v>
      </c>
    </row>
    <row r="32" spans="1:13" ht="14.4">
      <c r="A32" s="332" t="s">
        <v>845</v>
      </c>
      <c r="B32" s="332">
        <v>0.5</v>
      </c>
      <c r="C32" s="332">
        <v>0.15</v>
      </c>
      <c r="D32" s="332">
        <v>1</v>
      </c>
      <c r="E32" s="332" t="s">
        <v>108</v>
      </c>
      <c r="F32" s="332" t="s">
        <v>46</v>
      </c>
      <c r="G32" s="332">
        <v>33</v>
      </c>
      <c r="I32" s="338"/>
      <c r="J32" s="338"/>
      <c r="K32" s="338"/>
      <c r="L32" s="338"/>
      <c r="M32" s="338"/>
    </row>
    <row r="33" spans="1:7">
      <c r="A33" s="332" t="s">
        <v>844</v>
      </c>
      <c r="B33" s="332">
        <v>0.15</v>
      </c>
      <c r="C33" s="332"/>
      <c r="D33" s="332">
        <v>1</v>
      </c>
      <c r="E33" s="332" t="s">
        <v>46</v>
      </c>
      <c r="F33" s="332" t="s">
        <v>46</v>
      </c>
      <c r="G33" s="332">
        <v>2</v>
      </c>
    </row>
    <row r="34" spans="1:7">
      <c r="A34" s="332" t="s">
        <v>843</v>
      </c>
      <c r="B34" s="332">
        <v>0.15</v>
      </c>
      <c r="C34" s="332"/>
      <c r="D34" s="332">
        <v>1</v>
      </c>
      <c r="E34" s="332" t="s">
        <v>108</v>
      </c>
      <c r="F34" s="332" t="s">
        <v>46</v>
      </c>
      <c r="G34" s="332">
        <v>5</v>
      </c>
    </row>
    <row r="35" spans="1:7">
      <c r="A35" s="332" t="s">
        <v>842</v>
      </c>
      <c r="B35" s="332">
        <v>0.15</v>
      </c>
      <c r="C35" s="332"/>
      <c r="D35" s="332">
        <v>1</v>
      </c>
      <c r="E35" s="332" t="s">
        <v>108</v>
      </c>
      <c r="F35" s="332" t="s">
        <v>46</v>
      </c>
      <c r="G35" s="332">
        <v>5</v>
      </c>
    </row>
    <row r="36" spans="1:7">
      <c r="A36" s="332" t="s">
        <v>841</v>
      </c>
      <c r="B36" s="332">
        <v>0.15</v>
      </c>
      <c r="C36" s="332"/>
      <c r="D36" s="332">
        <v>1</v>
      </c>
      <c r="E36" s="332" t="s">
        <v>108</v>
      </c>
      <c r="F36" s="332" t="s">
        <v>46</v>
      </c>
      <c r="G36" s="332">
        <v>33</v>
      </c>
    </row>
    <row r="37" spans="1:7">
      <c r="A37" s="332" t="s">
        <v>840</v>
      </c>
      <c r="B37" s="332">
        <v>0.15</v>
      </c>
      <c r="C37" s="332"/>
      <c r="D37" s="332">
        <v>2</v>
      </c>
      <c r="E37" s="332" t="s">
        <v>108</v>
      </c>
      <c r="F37" s="332" t="s">
        <v>46</v>
      </c>
      <c r="G37" s="332">
        <v>5</v>
      </c>
    </row>
    <row r="38" spans="1:7">
      <c r="A38" s="332" t="s">
        <v>839</v>
      </c>
      <c r="B38" s="332">
        <v>0.15</v>
      </c>
      <c r="C38" s="332"/>
      <c r="D38" s="332">
        <v>1</v>
      </c>
      <c r="E38" s="332" t="s">
        <v>108</v>
      </c>
      <c r="F38" s="332" t="s">
        <v>46</v>
      </c>
      <c r="G38" s="332">
        <v>5</v>
      </c>
    </row>
    <row r="39" spans="1:7">
      <c r="A39" s="332" t="s">
        <v>838</v>
      </c>
      <c r="B39" s="332">
        <v>0.15</v>
      </c>
      <c r="C39" s="332"/>
      <c r="D39" s="332">
        <v>1</v>
      </c>
      <c r="E39" s="332" t="s">
        <v>108</v>
      </c>
      <c r="F39" s="332" t="s">
        <v>46</v>
      </c>
      <c r="G39" s="332">
        <v>5</v>
      </c>
    </row>
    <row r="40" spans="1:7">
      <c r="A40" s="332" t="s">
        <v>837</v>
      </c>
      <c r="B40" s="332" t="s">
        <v>154</v>
      </c>
      <c r="C40" s="332"/>
      <c r="D40" s="332">
        <v>2</v>
      </c>
      <c r="E40" s="332" t="s">
        <v>46</v>
      </c>
      <c r="F40" s="332" t="s">
        <v>46</v>
      </c>
      <c r="G40" s="332">
        <v>0</v>
      </c>
    </row>
    <row r="41" spans="1:7" ht="20.399999999999999">
      <c r="A41" s="332" t="s">
        <v>836</v>
      </c>
      <c r="B41" s="332">
        <v>0.15</v>
      </c>
      <c r="C41" s="332"/>
      <c r="D41" s="332">
        <v>3</v>
      </c>
      <c r="E41" s="332" t="s">
        <v>46</v>
      </c>
      <c r="F41" s="332" t="s">
        <v>46</v>
      </c>
      <c r="G41" s="332">
        <v>5</v>
      </c>
    </row>
    <row r="42" spans="1:7">
      <c r="A42" s="332" t="s">
        <v>835</v>
      </c>
      <c r="B42" s="332">
        <v>0.15</v>
      </c>
      <c r="C42" s="332"/>
      <c r="D42" s="332">
        <v>2</v>
      </c>
      <c r="E42" s="332" t="s">
        <v>46</v>
      </c>
      <c r="F42" s="332" t="s">
        <v>46</v>
      </c>
      <c r="G42" s="332">
        <v>5</v>
      </c>
    </row>
    <row r="43" spans="1:7">
      <c r="A43" s="332" t="s">
        <v>834</v>
      </c>
      <c r="B43" s="332">
        <v>0.15</v>
      </c>
      <c r="C43" s="332"/>
      <c r="D43" s="332">
        <v>1</v>
      </c>
      <c r="E43" s="332" t="s">
        <v>46</v>
      </c>
      <c r="F43" s="332" t="s">
        <v>46</v>
      </c>
      <c r="G43" s="332">
        <v>5</v>
      </c>
    </row>
    <row r="44" spans="1:7">
      <c r="A44" s="332" t="s">
        <v>833</v>
      </c>
      <c r="B44" s="332">
        <v>0.15</v>
      </c>
      <c r="C44" s="332"/>
      <c r="D44" s="332">
        <v>2</v>
      </c>
      <c r="E44" s="332" t="s">
        <v>46</v>
      </c>
      <c r="F44" s="332" t="s">
        <v>46</v>
      </c>
      <c r="G44" s="332">
        <v>5</v>
      </c>
    </row>
    <row r="45" spans="1:7">
      <c r="A45" s="332" t="s">
        <v>832</v>
      </c>
      <c r="B45" s="332">
        <v>0.15</v>
      </c>
      <c r="C45" s="332"/>
      <c r="D45" s="332">
        <v>2</v>
      </c>
      <c r="E45" s="332" t="s">
        <v>46</v>
      </c>
      <c r="F45" s="332" t="s">
        <v>46</v>
      </c>
      <c r="G45" s="332">
        <v>5</v>
      </c>
    </row>
    <row r="46" spans="1:7">
      <c r="A46" s="332" t="s">
        <v>831</v>
      </c>
      <c r="B46" s="332">
        <v>0.15</v>
      </c>
      <c r="C46" s="332"/>
      <c r="D46" s="332">
        <v>1</v>
      </c>
      <c r="E46" s="332" t="s">
        <v>46</v>
      </c>
      <c r="F46" s="332" t="s">
        <v>46</v>
      </c>
      <c r="G46" s="332">
        <v>5</v>
      </c>
    </row>
    <row r="47" spans="1:7">
      <c r="A47" s="332" t="s">
        <v>830</v>
      </c>
      <c r="B47" s="332">
        <v>0.5</v>
      </c>
      <c r="C47" s="332">
        <v>0.15</v>
      </c>
      <c r="D47" s="332">
        <v>1</v>
      </c>
      <c r="E47" s="332" t="s">
        <v>108</v>
      </c>
      <c r="F47" s="332" t="s">
        <v>46</v>
      </c>
      <c r="G47" s="332">
        <v>33</v>
      </c>
    </row>
    <row r="48" spans="1:7">
      <c r="A48" s="332" t="s">
        <v>829</v>
      </c>
      <c r="B48" s="332">
        <v>0.15</v>
      </c>
      <c r="C48" s="332"/>
      <c r="D48" s="332">
        <v>2</v>
      </c>
      <c r="E48" s="332" t="s">
        <v>46</v>
      </c>
      <c r="F48" s="332" t="s">
        <v>46</v>
      </c>
      <c r="G48" s="332">
        <v>1</v>
      </c>
    </row>
    <row r="49" spans="1:7">
      <c r="A49" s="332" t="s">
        <v>828</v>
      </c>
      <c r="B49" s="332">
        <v>0.15</v>
      </c>
      <c r="C49" s="332"/>
      <c r="D49" s="332">
        <v>2</v>
      </c>
      <c r="E49" s="332" t="s">
        <v>46</v>
      </c>
      <c r="F49" s="332" t="s">
        <v>46</v>
      </c>
      <c r="G49" s="332">
        <v>5</v>
      </c>
    </row>
    <row r="50" spans="1:7">
      <c r="A50" s="332" t="s">
        <v>827</v>
      </c>
      <c r="B50" s="332">
        <v>1.07</v>
      </c>
      <c r="C50" s="332">
        <v>0.15</v>
      </c>
      <c r="D50" s="332">
        <v>1</v>
      </c>
      <c r="E50" s="332" t="s">
        <v>108</v>
      </c>
      <c r="F50" s="332" t="s">
        <v>46</v>
      </c>
      <c r="G50" s="332">
        <v>7</v>
      </c>
    </row>
    <row r="51" spans="1:7">
      <c r="A51" s="332" t="s">
        <v>826</v>
      </c>
      <c r="B51" s="332">
        <v>1.07</v>
      </c>
      <c r="C51" s="332">
        <v>0.15</v>
      </c>
      <c r="D51" s="332">
        <v>1</v>
      </c>
      <c r="E51" s="332" t="s">
        <v>108</v>
      </c>
      <c r="F51" s="332" t="s">
        <v>46</v>
      </c>
      <c r="G51" s="332">
        <v>7</v>
      </c>
    </row>
    <row r="52" spans="1:7">
      <c r="A52" s="332" t="s">
        <v>825</v>
      </c>
      <c r="B52" s="332">
        <v>0.19</v>
      </c>
      <c r="C52" s="332">
        <v>0.15</v>
      </c>
      <c r="D52" s="332">
        <v>1</v>
      </c>
      <c r="E52" s="332" t="s">
        <v>108</v>
      </c>
      <c r="F52" s="332" t="s">
        <v>46</v>
      </c>
      <c r="G52" s="332">
        <v>13</v>
      </c>
    </row>
    <row r="53" spans="1:7">
      <c r="A53" s="332" t="s">
        <v>824</v>
      </c>
      <c r="B53" s="332">
        <v>0.19</v>
      </c>
      <c r="C53" s="332">
        <v>0.15</v>
      </c>
      <c r="D53" s="332">
        <v>1</v>
      </c>
      <c r="E53" s="332" t="s">
        <v>108</v>
      </c>
      <c r="F53" s="332" t="s">
        <v>46</v>
      </c>
      <c r="G53" s="332">
        <v>13</v>
      </c>
    </row>
    <row r="54" spans="1:7">
      <c r="A54" s="332" t="s">
        <v>823</v>
      </c>
      <c r="B54" s="332">
        <v>0.15</v>
      </c>
      <c r="C54" s="332"/>
      <c r="D54" s="332">
        <v>1</v>
      </c>
      <c r="E54" s="332" t="s">
        <v>46</v>
      </c>
      <c r="F54" s="332" t="s">
        <v>46</v>
      </c>
      <c r="G54" s="332">
        <v>10</v>
      </c>
    </row>
    <row r="55" spans="1:7">
      <c r="A55" s="332" t="s">
        <v>822</v>
      </c>
      <c r="B55" s="332">
        <v>0.5</v>
      </c>
      <c r="C55" s="332">
        <v>0.15</v>
      </c>
      <c r="D55" s="332">
        <v>1</v>
      </c>
      <c r="E55" s="332" t="s">
        <v>108</v>
      </c>
      <c r="F55" s="332" t="s">
        <v>46</v>
      </c>
      <c r="G55" s="332">
        <v>33</v>
      </c>
    </row>
    <row r="56" spans="1:7">
      <c r="A56" s="332" t="s">
        <v>821</v>
      </c>
      <c r="B56" s="332">
        <v>0.25</v>
      </c>
      <c r="C56" s="332">
        <v>0.15</v>
      </c>
      <c r="D56" s="332">
        <v>1</v>
      </c>
      <c r="E56" s="332" t="s">
        <v>46</v>
      </c>
      <c r="F56" s="332" t="s">
        <v>46</v>
      </c>
      <c r="G56" s="332">
        <v>17</v>
      </c>
    </row>
    <row r="57" spans="1:7">
      <c r="A57" s="332" t="s">
        <v>820</v>
      </c>
      <c r="B57" s="332">
        <v>0.25</v>
      </c>
      <c r="C57" s="332">
        <v>0.15</v>
      </c>
      <c r="D57" s="332">
        <v>11</v>
      </c>
      <c r="E57" s="332" t="s">
        <v>108</v>
      </c>
      <c r="F57" s="332" t="s">
        <v>46</v>
      </c>
      <c r="G57" s="332">
        <v>17</v>
      </c>
    </row>
    <row r="58" spans="1:7" hidden="1">
      <c r="A58" s="332" t="s">
        <v>819</v>
      </c>
      <c r="B58" s="332">
        <v>0</v>
      </c>
      <c r="C58" s="332">
        <v>0</v>
      </c>
      <c r="D58" s="332"/>
      <c r="E58" s="332" t="s">
        <v>46</v>
      </c>
      <c r="F58" s="332" t="s">
        <v>108</v>
      </c>
      <c r="G58" s="332"/>
    </row>
    <row r="59" spans="1:7">
      <c r="A59" s="332" t="s">
        <v>818</v>
      </c>
      <c r="B59" s="332">
        <v>0.25</v>
      </c>
      <c r="C59" s="332">
        <v>0.2</v>
      </c>
      <c r="D59" s="332">
        <v>2</v>
      </c>
      <c r="E59" s="332" t="s">
        <v>46</v>
      </c>
      <c r="F59" s="332" t="s">
        <v>46</v>
      </c>
      <c r="G59" s="332">
        <v>17</v>
      </c>
    </row>
    <row r="60" spans="1:7">
      <c r="A60" s="332" t="s">
        <v>817</v>
      </c>
      <c r="B60" s="332">
        <v>0.25</v>
      </c>
      <c r="C60" s="332">
        <v>0.15</v>
      </c>
      <c r="D60" s="332">
        <v>1</v>
      </c>
      <c r="E60" s="332" t="s">
        <v>108</v>
      </c>
      <c r="F60" s="332" t="s">
        <v>46</v>
      </c>
      <c r="G60" s="332">
        <v>17</v>
      </c>
    </row>
    <row r="61" spans="1:7">
      <c r="A61" s="332" t="s">
        <v>816</v>
      </c>
      <c r="B61" s="332">
        <v>0.4</v>
      </c>
      <c r="C61" s="332"/>
      <c r="D61" s="332">
        <v>2</v>
      </c>
      <c r="E61" s="332" t="s">
        <v>46</v>
      </c>
      <c r="F61" s="332" t="s">
        <v>46</v>
      </c>
      <c r="G61" s="332">
        <v>17</v>
      </c>
    </row>
    <row r="62" spans="1:7">
      <c r="A62" s="332" t="s">
        <v>815</v>
      </c>
      <c r="B62" s="332">
        <v>0.4</v>
      </c>
      <c r="C62" s="332"/>
      <c r="D62" s="332">
        <v>2</v>
      </c>
      <c r="E62" s="332" t="s">
        <v>46</v>
      </c>
      <c r="F62" s="332" t="s">
        <v>46</v>
      </c>
      <c r="G62" s="332">
        <v>17</v>
      </c>
    </row>
    <row r="63" spans="1:7">
      <c r="A63" s="332" t="s">
        <v>814</v>
      </c>
      <c r="B63" s="332">
        <v>0.25</v>
      </c>
      <c r="C63" s="332">
        <v>0.15</v>
      </c>
      <c r="D63" s="332">
        <v>2</v>
      </c>
      <c r="E63" s="332" t="s">
        <v>46</v>
      </c>
      <c r="F63" s="332" t="s">
        <v>46</v>
      </c>
      <c r="G63" s="332">
        <v>17</v>
      </c>
    </row>
    <row r="64" spans="1:7">
      <c r="A64" s="332" t="s">
        <v>813</v>
      </c>
      <c r="B64" s="332">
        <v>0.25</v>
      </c>
      <c r="C64" s="332">
        <v>0.2</v>
      </c>
      <c r="D64" s="332">
        <v>1</v>
      </c>
      <c r="E64" s="332" t="s">
        <v>108</v>
      </c>
      <c r="F64" s="332" t="s">
        <v>46</v>
      </c>
      <c r="G64" s="332">
        <v>17</v>
      </c>
    </row>
    <row r="65" spans="1:7">
      <c r="A65" s="332" t="s">
        <v>812</v>
      </c>
      <c r="B65" s="332">
        <v>0.3</v>
      </c>
      <c r="C65" s="332"/>
      <c r="D65" s="332">
        <v>2</v>
      </c>
      <c r="E65" s="332" t="s">
        <v>46</v>
      </c>
      <c r="F65" s="332" t="s">
        <v>46</v>
      </c>
      <c r="G65" s="332">
        <v>17</v>
      </c>
    </row>
    <row r="66" spans="1:7">
      <c r="A66" s="332" t="s">
        <v>811</v>
      </c>
      <c r="B66" s="332">
        <v>0.5</v>
      </c>
      <c r="C66" s="332">
        <v>0.15</v>
      </c>
      <c r="D66" s="332">
        <v>2</v>
      </c>
      <c r="E66" s="332" t="s">
        <v>46</v>
      </c>
      <c r="F66" s="332" t="s">
        <v>46</v>
      </c>
      <c r="G66" s="332">
        <v>10</v>
      </c>
    </row>
    <row r="67" spans="1:7">
      <c r="A67" s="332" t="s">
        <v>810</v>
      </c>
      <c r="B67" s="332">
        <v>0.5</v>
      </c>
      <c r="C67" s="332">
        <v>0.15</v>
      </c>
      <c r="D67" s="332">
        <v>1</v>
      </c>
      <c r="E67" s="332" t="s">
        <v>108</v>
      </c>
      <c r="F67" s="332" t="s">
        <v>46</v>
      </c>
      <c r="G67" s="332">
        <v>33</v>
      </c>
    </row>
    <row r="68" spans="1:7">
      <c r="A68" s="332" t="s">
        <v>809</v>
      </c>
      <c r="B68" s="332">
        <v>0.15</v>
      </c>
      <c r="C68" s="332"/>
      <c r="D68" s="332">
        <v>2</v>
      </c>
      <c r="E68" s="332" t="s">
        <v>46</v>
      </c>
      <c r="F68" s="332" t="s">
        <v>46</v>
      </c>
      <c r="G68" s="332">
        <v>10</v>
      </c>
    </row>
    <row r="69" spans="1:7">
      <c r="A69" s="332" t="s">
        <v>808</v>
      </c>
      <c r="B69" s="332">
        <v>0.5</v>
      </c>
      <c r="C69" s="332">
        <v>0.15</v>
      </c>
      <c r="D69" s="332">
        <v>2</v>
      </c>
      <c r="E69" s="332" t="s">
        <v>46</v>
      </c>
      <c r="F69" s="332" t="s">
        <v>46</v>
      </c>
      <c r="G69" s="332">
        <v>33</v>
      </c>
    </row>
    <row r="70" spans="1:7">
      <c r="A70" s="332" t="s">
        <v>807</v>
      </c>
      <c r="B70" s="332">
        <v>1.5</v>
      </c>
      <c r="C70" s="332">
        <v>0.15</v>
      </c>
      <c r="D70" s="332">
        <v>2</v>
      </c>
      <c r="E70" s="332" t="s">
        <v>108</v>
      </c>
      <c r="F70" s="332" t="s">
        <v>46</v>
      </c>
      <c r="G70" s="332">
        <v>100</v>
      </c>
    </row>
    <row r="71" spans="1:7">
      <c r="A71" s="332" t="s">
        <v>806</v>
      </c>
      <c r="B71" s="332">
        <v>0.15</v>
      </c>
      <c r="C71" s="332"/>
      <c r="D71" s="332">
        <v>2</v>
      </c>
      <c r="E71" s="332" t="s">
        <v>46</v>
      </c>
      <c r="F71" s="332" t="s">
        <v>46</v>
      </c>
      <c r="G71" s="332">
        <v>10</v>
      </c>
    </row>
    <row r="72" spans="1:7">
      <c r="A72" s="332" t="s">
        <v>805</v>
      </c>
      <c r="B72" s="332">
        <v>0.15</v>
      </c>
      <c r="C72" s="332"/>
      <c r="D72" s="332">
        <v>2</v>
      </c>
      <c r="E72" s="332" t="s">
        <v>46</v>
      </c>
      <c r="F72" s="332" t="s">
        <v>46</v>
      </c>
      <c r="G72" s="332">
        <v>10</v>
      </c>
    </row>
    <row r="73" spans="1:7">
      <c r="A73" s="332" t="s">
        <v>804</v>
      </c>
      <c r="B73" s="332">
        <v>1.07</v>
      </c>
      <c r="C73" s="332">
        <v>0.15</v>
      </c>
      <c r="D73" s="332">
        <v>1</v>
      </c>
      <c r="E73" s="332" t="s">
        <v>46</v>
      </c>
      <c r="F73" s="332" t="s">
        <v>46</v>
      </c>
      <c r="G73" s="332">
        <v>7</v>
      </c>
    </row>
    <row r="74" spans="1:7">
      <c r="A74" s="332" t="s">
        <v>803</v>
      </c>
      <c r="B74" s="332">
        <v>0.68</v>
      </c>
      <c r="C74" s="332">
        <v>0.15</v>
      </c>
      <c r="D74" s="332">
        <v>1</v>
      </c>
      <c r="E74" s="332" t="s">
        <v>46</v>
      </c>
      <c r="F74" s="332" t="s">
        <v>46</v>
      </c>
      <c r="G74" s="332">
        <v>45</v>
      </c>
    </row>
    <row r="75" spans="1:7">
      <c r="A75" s="332" t="s">
        <v>802</v>
      </c>
      <c r="B75" s="332">
        <v>0.68</v>
      </c>
      <c r="C75" s="332">
        <v>0.15</v>
      </c>
      <c r="D75" s="332">
        <v>1</v>
      </c>
      <c r="E75" s="332" t="s">
        <v>46</v>
      </c>
      <c r="F75" s="332" t="s">
        <v>46</v>
      </c>
      <c r="G75" s="332">
        <v>45</v>
      </c>
    </row>
    <row r="76" spans="1:7">
      <c r="A76" s="332" t="s">
        <v>45</v>
      </c>
      <c r="B76" s="332">
        <v>0</v>
      </c>
      <c r="C76" s="332">
        <v>0</v>
      </c>
      <c r="D76" s="332">
        <v>1</v>
      </c>
      <c r="E76" s="332" t="s">
        <v>46</v>
      </c>
      <c r="F76" s="332" t="s">
        <v>46</v>
      </c>
      <c r="G76" s="332">
        <v>0</v>
      </c>
    </row>
    <row r="77" spans="1:7">
      <c r="A77" s="332" t="s">
        <v>801</v>
      </c>
      <c r="B77" s="332">
        <v>0.5</v>
      </c>
      <c r="C77" s="332">
        <v>0.15</v>
      </c>
      <c r="D77" s="332">
        <v>1</v>
      </c>
      <c r="E77" s="332" t="s">
        <v>108</v>
      </c>
      <c r="F77" s="332" t="s">
        <v>46</v>
      </c>
      <c r="G77" s="332">
        <v>33</v>
      </c>
    </row>
  </sheetData>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1E0D-981E-493D-8622-CA9DFB18E1D4}">
  <sheetPr codeName="Sheet9">
    <pageSetUpPr fitToPage="1"/>
  </sheetPr>
  <dimension ref="A1:AB93"/>
  <sheetViews>
    <sheetView zoomScale="85" zoomScaleNormal="85" workbookViewId="0">
      <selection activeCell="I6" sqref="I6"/>
    </sheetView>
  </sheetViews>
  <sheetFormatPr defaultRowHeight="13.2"/>
  <cols>
    <col min="1" max="1" width="76.109375" customWidth="1"/>
    <col min="2" max="2" width="6.109375" bestFit="1" customWidth="1"/>
    <col min="3" max="3" width="6.44140625" bestFit="1" customWidth="1"/>
    <col min="4" max="4" width="22.33203125" bestFit="1" customWidth="1"/>
    <col min="5" max="5" width="13.5546875" bestFit="1" customWidth="1"/>
    <col min="6" max="6" width="9" bestFit="1" customWidth="1"/>
    <col min="7" max="7" width="9" customWidth="1"/>
    <col min="8" max="8" width="9" style="70" bestFit="1" customWidth="1"/>
    <col min="10" max="10" width="77.44140625" customWidth="1"/>
    <col min="11" max="11" width="27" bestFit="1" customWidth="1"/>
    <col min="12" max="12" width="27.88671875" bestFit="1" customWidth="1"/>
    <col min="13" max="13" width="9.6640625" bestFit="1" customWidth="1"/>
    <col min="14" max="14" width="14.109375" bestFit="1" customWidth="1"/>
    <col min="15" max="16" width="13.44140625" customWidth="1"/>
    <col min="17" max="17" width="12.88671875" bestFit="1" customWidth="1"/>
    <col min="20" max="20" width="15.5546875" customWidth="1"/>
    <col min="24" max="24" width="15.5546875" customWidth="1"/>
    <col min="28" max="28" width="8.88671875" bestFit="1" customWidth="1"/>
  </cols>
  <sheetData>
    <row r="1" spans="1:28">
      <c r="A1" s="11" t="s">
        <v>83</v>
      </c>
      <c r="B1" s="11" t="s">
        <v>263</v>
      </c>
      <c r="C1" s="11" t="s">
        <v>0</v>
      </c>
      <c r="D1" s="11" t="s">
        <v>264</v>
      </c>
      <c r="E1" s="11" t="s">
        <v>265</v>
      </c>
      <c r="F1" s="72" t="s">
        <v>35</v>
      </c>
      <c r="G1" s="72" t="s">
        <v>266</v>
      </c>
      <c r="H1"/>
      <c r="J1" s="11" t="s">
        <v>83</v>
      </c>
      <c r="K1" s="11" t="s">
        <v>267</v>
      </c>
      <c r="L1" s="11" t="s">
        <v>268</v>
      </c>
      <c r="M1" s="11" t="s">
        <v>269</v>
      </c>
      <c r="N1" s="11" t="s">
        <v>270</v>
      </c>
      <c r="O1" s="11"/>
      <c r="P1" s="11"/>
      <c r="Q1" s="11"/>
    </row>
    <row r="2" spans="1:28">
      <c r="A2" s="82" t="s">
        <v>271</v>
      </c>
      <c r="B2" s="71">
        <v>10</v>
      </c>
      <c r="C2" s="71">
        <v>0.12</v>
      </c>
      <c r="D2" s="71">
        <v>20</v>
      </c>
      <c r="E2" s="71">
        <v>2</v>
      </c>
      <c r="F2" s="71" t="s">
        <v>46</v>
      </c>
      <c r="G2" s="71" t="s">
        <v>46</v>
      </c>
      <c r="H2"/>
      <c r="J2" s="83" t="s">
        <v>272</v>
      </c>
      <c r="K2" s="74">
        <v>0</v>
      </c>
      <c r="L2" s="71">
        <v>0.9</v>
      </c>
      <c r="M2" s="71"/>
      <c r="N2" s="71">
        <v>3</v>
      </c>
      <c r="Q2" s="11" t="s">
        <v>273</v>
      </c>
      <c r="T2" s="11" t="s">
        <v>274</v>
      </c>
      <c r="U2" t="s">
        <v>714</v>
      </c>
      <c r="V2" t="s">
        <v>715</v>
      </c>
      <c r="W2" t="s">
        <v>716</v>
      </c>
      <c r="Y2" s="11" t="s">
        <v>274</v>
      </c>
      <c r="Z2" t="s">
        <v>714</v>
      </c>
      <c r="AA2" t="s">
        <v>715</v>
      </c>
      <c r="AB2" t="s">
        <v>716</v>
      </c>
    </row>
    <row r="3" spans="1:28">
      <c r="A3" s="82" t="s">
        <v>272</v>
      </c>
      <c r="B3" s="71">
        <v>10</v>
      </c>
      <c r="C3" s="71">
        <v>0.18</v>
      </c>
      <c r="D3" s="71">
        <v>20</v>
      </c>
      <c r="E3" s="71">
        <v>3</v>
      </c>
      <c r="F3" s="71" t="s">
        <v>46</v>
      </c>
      <c r="G3" s="71" t="s">
        <v>46</v>
      </c>
      <c r="H3"/>
      <c r="J3" s="83" t="s">
        <v>275</v>
      </c>
      <c r="K3" s="71">
        <v>0</v>
      </c>
      <c r="L3" s="71">
        <v>3</v>
      </c>
      <c r="M3" s="71"/>
      <c r="N3" s="71">
        <v>3</v>
      </c>
      <c r="Q3">
        <v>1</v>
      </c>
      <c r="T3" s="284">
        <v>7</v>
      </c>
      <c r="U3">
        <v>400</v>
      </c>
      <c r="V3">
        <v>200</v>
      </c>
      <c r="W3">
        <v>150</v>
      </c>
      <c r="Y3" s="284">
        <v>7</v>
      </c>
      <c r="Z3">
        <v>800</v>
      </c>
      <c r="AA3">
        <v>400</v>
      </c>
      <c r="AB3">
        <v>250</v>
      </c>
    </row>
    <row r="4" spans="1:28">
      <c r="A4" s="82" t="s">
        <v>275</v>
      </c>
      <c r="B4" s="71">
        <v>10</v>
      </c>
      <c r="C4" s="71">
        <v>0.18</v>
      </c>
      <c r="D4" s="71">
        <v>20</v>
      </c>
      <c r="E4" s="71">
        <v>3</v>
      </c>
      <c r="F4" s="71" t="s">
        <v>46</v>
      </c>
      <c r="G4" s="71" t="s">
        <v>46</v>
      </c>
      <c r="H4"/>
      <c r="J4" s="83" t="s">
        <v>276</v>
      </c>
      <c r="K4" s="71">
        <v>0</v>
      </c>
      <c r="L4" s="71">
        <v>1.5</v>
      </c>
      <c r="M4" s="71"/>
      <c r="N4" s="71">
        <v>3</v>
      </c>
      <c r="Q4">
        <v>0.8</v>
      </c>
      <c r="T4" s="284">
        <v>8</v>
      </c>
      <c r="U4">
        <v>400</v>
      </c>
      <c r="V4">
        <v>200</v>
      </c>
      <c r="W4">
        <v>150</v>
      </c>
      <c r="Y4" s="284">
        <v>8</v>
      </c>
      <c r="Z4">
        <v>800</v>
      </c>
      <c r="AA4">
        <v>400</v>
      </c>
      <c r="AB4">
        <v>250</v>
      </c>
    </row>
    <row r="5" spans="1:28">
      <c r="A5" s="82" t="s">
        <v>276</v>
      </c>
      <c r="B5" s="71">
        <v>10</v>
      </c>
      <c r="C5" s="71">
        <v>0.18</v>
      </c>
      <c r="D5" s="71">
        <v>20</v>
      </c>
      <c r="E5" s="71">
        <v>3</v>
      </c>
      <c r="F5" s="71" t="s">
        <v>46</v>
      </c>
      <c r="G5" s="71" t="s">
        <v>46</v>
      </c>
      <c r="H5"/>
      <c r="J5" s="83" t="s">
        <v>262</v>
      </c>
      <c r="K5" s="71">
        <v>0</v>
      </c>
      <c r="L5" s="71">
        <v>1.5</v>
      </c>
      <c r="M5" s="71"/>
      <c r="N5" s="71">
        <v>3</v>
      </c>
      <c r="Q5">
        <v>0.7</v>
      </c>
      <c r="T5" s="285" t="s">
        <v>283</v>
      </c>
      <c r="U5">
        <v>800</v>
      </c>
      <c r="V5">
        <v>400</v>
      </c>
      <c r="W5">
        <v>250</v>
      </c>
      <c r="Y5" s="285" t="s">
        <v>277</v>
      </c>
      <c r="Z5">
        <v>1400</v>
      </c>
      <c r="AA5">
        <v>900</v>
      </c>
      <c r="AB5">
        <v>400</v>
      </c>
    </row>
    <row r="6" spans="1:28">
      <c r="A6" s="82" t="s">
        <v>262</v>
      </c>
      <c r="B6" s="71">
        <v>10</v>
      </c>
      <c r="C6" s="71">
        <v>0.18</v>
      </c>
      <c r="D6" s="71">
        <v>20</v>
      </c>
      <c r="E6" s="71">
        <v>3</v>
      </c>
      <c r="F6" s="71" t="s">
        <v>46</v>
      </c>
      <c r="G6" s="71" t="s">
        <v>46</v>
      </c>
      <c r="H6"/>
      <c r="J6" s="83" t="s">
        <v>278</v>
      </c>
      <c r="K6" s="71">
        <v>0</v>
      </c>
      <c r="L6" s="71">
        <v>2.25</v>
      </c>
      <c r="M6" s="71"/>
      <c r="N6" s="71">
        <v>3</v>
      </c>
      <c r="Q6">
        <v>0.5</v>
      </c>
      <c r="T6" s="285" t="s">
        <v>285</v>
      </c>
      <c r="U6">
        <v>800</v>
      </c>
      <c r="V6">
        <v>400</v>
      </c>
      <c r="W6">
        <v>250</v>
      </c>
      <c r="Y6" s="285" t="s">
        <v>279</v>
      </c>
      <c r="Z6">
        <v>1400</v>
      </c>
      <c r="AA6">
        <v>900</v>
      </c>
      <c r="AB6">
        <v>400</v>
      </c>
    </row>
    <row r="7" spans="1:28">
      <c r="A7" s="82" t="s">
        <v>278</v>
      </c>
      <c r="B7" s="71">
        <v>10</v>
      </c>
      <c r="C7" s="71">
        <v>0.18</v>
      </c>
      <c r="D7" s="71">
        <v>20</v>
      </c>
      <c r="E7" s="71">
        <v>3</v>
      </c>
      <c r="F7" s="71" t="s">
        <v>46</v>
      </c>
      <c r="G7" s="71" t="s">
        <v>46</v>
      </c>
      <c r="H7"/>
      <c r="J7" s="83" t="s">
        <v>280</v>
      </c>
      <c r="K7" s="71">
        <v>0</v>
      </c>
      <c r="L7" s="71">
        <v>1.5</v>
      </c>
      <c r="M7" s="71"/>
      <c r="N7" s="71">
        <v>3</v>
      </c>
      <c r="Q7">
        <v>1.05</v>
      </c>
      <c r="T7" s="285" t="s">
        <v>316</v>
      </c>
      <c r="U7">
        <v>2400</v>
      </c>
      <c r="V7">
        <v>1100</v>
      </c>
      <c r="W7">
        <v>600</v>
      </c>
      <c r="Y7" s="285" t="s">
        <v>281</v>
      </c>
      <c r="Z7">
        <v>1400</v>
      </c>
      <c r="AA7">
        <v>900</v>
      </c>
      <c r="AB7">
        <v>400</v>
      </c>
    </row>
    <row r="8" spans="1:28">
      <c r="A8" s="82" t="s">
        <v>280</v>
      </c>
      <c r="B8" s="71">
        <v>10</v>
      </c>
      <c r="C8" s="71">
        <v>0.18</v>
      </c>
      <c r="D8" s="71">
        <v>20</v>
      </c>
      <c r="E8" s="71">
        <v>3</v>
      </c>
      <c r="F8" s="71" t="s">
        <v>46</v>
      </c>
      <c r="G8" s="71" t="s">
        <v>46</v>
      </c>
      <c r="H8"/>
      <c r="J8" s="83" t="s">
        <v>282</v>
      </c>
      <c r="K8" s="71">
        <v>0</v>
      </c>
      <c r="L8" s="71">
        <v>2.25</v>
      </c>
      <c r="M8" s="71"/>
      <c r="N8" s="71">
        <v>3</v>
      </c>
      <c r="Q8">
        <v>1.2</v>
      </c>
      <c r="T8" s="285" t="s">
        <v>287</v>
      </c>
      <c r="U8">
        <v>800</v>
      </c>
      <c r="V8">
        <v>400</v>
      </c>
      <c r="W8">
        <v>250</v>
      </c>
      <c r="Y8" s="285" t="s">
        <v>283</v>
      </c>
      <c r="Z8">
        <v>2000</v>
      </c>
      <c r="AA8">
        <v>1000</v>
      </c>
      <c r="AB8">
        <v>500</v>
      </c>
    </row>
    <row r="9" spans="1:28">
      <c r="A9" s="82" t="s">
        <v>284</v>
      </c>
      <c r="B9" s="71">
        <v>10</v>
      </c>
      <c r="C9" s="71">
        <v>0.18</v>
      </c>
      <c r="D9" s="71">
        <v>20</v>
      </c>
      <c r="E9" s="71">
        <v>3</v>
      </c>
      <c r="F9" s="71" t="s">
        <v>46</v>
      </c>
      <c r="G9" s="71" t="s">
        <v>46</v>
      </c>
      <c r="H9"/>
      <c r="J9" s="83" t="s">
        <v>101</v>
      </c>
      <c r="K9" s="71">
        <v>0</v>
      </c>
      <c r="L9" s="71">
        <v>2.25</v>
      </c>
      <c r="M9" s="71"/>
      <c r="N9" s="71">
        <v>3</v>
      </c>
      <c r="Q9">
        <v>1.5</v>
      </c>
      <c r="T9" s="285" t="s">
        <v>302</v>
      </c>
      <c r="U9">
        <v>1100</v>
      </c>
      <c r="V9">
        <v>600</v>
      </c>
      <c r="W9">
        <v>300</v>
      </c>
      <c r="Y9" s="285" t="s">
        <v>285</v>
      </c>
      <c r="Z9">
        <v>2000</v>
      </c>
      <c r="AA9">
        <v>1000</v>
      </c>
      <c r="AB9">
        <v>500</v>
      </c>
    </row>
    <row r="10" spans="1:28">
      <c r="A10" s="82" t="s">
        <v>101</v>
      </c>
      <c r="B10" s="71">
        <v>10</v>
      </c>
      <c r="C10" s="71">
        <v>0.18</v>
      </c>
      <c r="D10" s="71">
        <v>20</v>
      </c>
      <c r="E10" s="71">
        <v>3</v>
      </c>
      <c r="F10" s="71" t="s">
        <v>46</v>
      </c>
      <c r="G10" s="71" t="s">
        <v>46</v>
      </c>
      <c r="H10"/>
      <c r="J10" s="83" t="s">
        <v>286</v>
      </c>
      <c r="K10" s="71">
        <v>0</v>
      </c>
      <c r="L10" s="71">
        <v>2.25</v>
      </c>
      <c r="M10" s="71"/>
      <c r="N10" s="71">
        <v>3</v>
      </c>
      <c r="Q10">
        <v>1.4</v>
      </c>
      <c r="T10" s="285" t="s">
        <v>305</v>
      </c>
      <c r="U10">
        <v>1100</v>
      </c>
      <c r="V10">
        <v>600</v>
      </c>
      <c r="W10">
        <v>300</v>
      </c>
      <c r="Y10" s="285" t="s">
        <v>287</v>
      </c>
      <c r="Z10">
        <v>2000</v>
      </c>
      <c r="AA10">
        <v>1000</v>
      </c>
      <c r="AB10">
        <v>500</v>
      </c>
    </row>
    <row r="11" spans="1:28">
      <c r="A11" s="82" t="s">
        <v>286</v>
      </c>
      <c r="B11" s="71">
        <v>10</v>
      </c>
      <c r="C11" s="71">
        <v>0.18</v>
      </c>
      <c r="D11" s="71">
        <v>20</v>
      </c>
      <c r="E11" s="71">
        <v>3</v>
      </c>
      <c r="F11" s="71" t="s">
        <v>46</v>
      </c>
      <c r="G11" s="71" t="s">
        <v>46</v>
      </c>
      <c r="H11"/>
      <c r="J11" s="83" t="s">
        <v>288</v>
      </c>
      <c r="K11" s="71">
        <v>0</v>
      </c>
      <c r="L11" s="71">
        <v>1.5</v>
      </c>
      <c r="M11" s="71"/>
      <c r="N11" s="71">
        <v>3</v>
      </c>
      <c r="Q11">
        <v>1.4</v>
      </c>
      <c r="T11" s="285" t="s">
        <v>289</v>
      </c>
      <c r="U11">
        <v>800</v>
      </c>
      <c r="V11">
        <v>400</v>
      </c>
      <c r="W11">
        <v>250</v>
      </c>
      <c r="Y11" s="285" t="s">
        <v>289</v>
      </c>
      <c r="Z11">
        <v>2000</v>
      </c>
      <c r="AA11">
        <v>1000</v>
      </c>
      <c r="AB11">
        <v>500</v>
      </c>
    </row>
    <row r="12" spans="1:28">
      <c r="A12" s="82" t="s">
        <v>288</v>
      </c>
      <c r="B12" s="71">
        <v>10</v>
      </c>
      <c r="C12" s="71">
        <v>0.18</v>
      </c>
      <c r="D12" s="71">
        <v>20</v>
      </c>
      <c r="E12" s="71">
        <v>3</v>
      </c>
      <c r="F12" s="71" t="s">
        <v>46</v>
      </c>
      <c r="G12" s="71" t="s">
        <v>46</v>
      </c>
      <c r="H12"/>
      <c r="J12" s="83" t="s">
        <v>290</v>
      </c>
      <c r="K12" s="71">
        <v>0</v>
      </c>
      <c r="L12" s="71">
        <v>0.5</v>
      </c>
      <c r="M12" s="71" t="s">
        <v>291</v>
      </c>
      <c r="N12" s="71">
        <v>1</v>
      </c>
      <c r="Q12">
        <v>1.2</v>
      </c>
      <c r="T12" s="285" t="s">
        <v>121</v>
      </c>
      <c r="U12">
        <v>1500</v>
      </c>
      <c r="V12">
        <v>700</v>
      </c>
      <c r="W12">
        <v>400</v>
      </c>
      <c r="Y12" s="285" t="s">
        <v>292</v>
      </c>
      <c r="Z12">
        <v>2000</v>
      </c>
      <c r="AA12">
        <v>1000</v>
      </c>
      <c r="AB12">
        <v>500</v>
      </c>
    </row>
    <row r="13" spans="1:28">
      <c r="A13" s="82" t="s">
        <v>293</v>
      </c>
      <c r="B13" s="71">
        <v>7.5</v>
      </c>
      <c r="C13" s="71">
        <v>0.06</v>
      </c>
      <c r="D13" s="71">
        <v>50</v>
      </c>
      <c r="E13" s="71">
        <v>2</v>
      </c>
      <c r="F13" s="71" t="s">
        <v>46</v>
      </c>
      <c r="G13" s="71" t="s">
        <v>46</v>
      </c>
      <c r="H13"/>
      <c r="J13" s="83" t="s">
        <v>294</v>
      </c>
      <c r="K13" s="71">
        <v>0</v>
      </c>
      <c r="L13" s="71">
        <v>0.7</v>
      </c>
      <c r="M13" s="71"/>
      <c r="N13" s="71">
        <v>2</v>
      </c>
      <c r="Q13">
        <v>1.5</v>
      </c>
      <c r="T13" s="285" t="s">
        <v>319</v>
      </c>
      <c r="U13">
        <v>7000</v>
      </c>
      <c r="V13">
        <v>3000</v>
      </c>
      <c r="W13">
        <v>1700</v>
      </c>
      <c r="Y13" s="285" t="s">
        <v>295</v>
      </c>
      <c r="Z13">
        <v>2000</v>
      </c>
      <c r="AA13">
        <v>1000</v>
      </c>
      <c r="AB13">
        <v>500</v>
      </c>
    </row>
    <row r="14" spans="1:28">
      <c r="A14" s="82" t="s">
        <v>296</v>
      </c>
      <c r="B14" s="71">
        <v>5</v>
      </c>
      <c r="C14" s="71">
        <v>0.12</v>
      </c>
      <c r="D14" s="71">
        <v>25</v>
      </c>
      <c r="E14" s="71">
        <v>2</v>
      </c>
      <c r="F14" s="71" t="s">
        <v>46</v>
      </c>
      <c r="G14" s="71" t="s">
        <v>46</v>
      </c>
      <c r="H14"/>
      <c r="J14" s="83" t="s">
        <v>297</v>
      </c>
      <c r="K14" s="71">
        <v>0</v>
      </c>
      <c r="L14" s="71">
        <v>1.5</v>
      </c>
      <c r="M14" s="71" t="s">
        <v>298</v>
      </c>
      <c r="N14" s="71">
        <v>2</v>
      </c>
      <c r="T14" s="285" t="s">
        <v>292</v>
      </c>
      <c r="U14">
        <v>800</v>
      </c>
      <c r="V14">
        <v>400</v>
      </c>
      <c r="W14">
        <v>250</v>
      </c>
      <c r="Y14" s="285" t="s">
        <v>299</v>
      </c>
      <c r="Z14">
        <v>2000</v>
      </c>
      <c r="AA14">
        <v>1000</v>
      </c>
      <c r="AB14">
        <v>500</v>
      </c>
    </row>
    <row r="15" spans="1:28">
      <c r="A15" s="82" t="s">
        <v>300</v>
      </c>
      <c r="B15" s="71">
        <v>5</v>
      </c>
      <c r="C15" s="71">
        <v>0.06</v>
      </c>
      <c r="D15" s="71">
        <v>30</v>
      </c>
      <c r="E15" s="71">
        <v>1</v>
      </c>
      <c r="F15" s="71" t="s">
        <v>46</v>
      </c>
      <c r="G15" s="71" t="s">
        <v>46</v>
      </c>
      <c r="H15"/>
      <c r="J15" s="83" t="s">
        <v>301</v>
      </c>
      <c r="K15" s="71">
        <v>0</v>
      </c>
      <c r="L15" s="71">
        <v>0.5</v>
      </c>
      <c r="M15" s="71"/>
      <c r="N15" s="71">
        <v>2</v>
      </c>
      <c r="T15" s="285" t="s">
        <v>313</v>
      </c>
      <c r="U15">
        <v>1500</v>
      </c>
      <c r="V15">
        <v>700</v>
      </c>
      <c r="W15">
        <v>400</v>
      </c>
      <c r="Y15" s="285" t="s">
        <v>302</v>
      </c>
      <c r="Z15">
        <v>2300</v>
      </c>
      <c r="AA15">
        <v>1100</v>
      </c>
      <c r="AB15">
        <v>600</v>
      </c>
    </row>
    <row r="16" spans="1:28">
      <c r="A16" s="82" t="s">
        <v>303</v>
      </c>
      <c r="B16" s="71">
        <v>5</v>
      </c>
      <c r="C16" s="71">
        <v>0.06</v>
      </c>
      <c r="D16" s="71">
        <v>15</v>
      </c>
      <c r="E16" s="71">
        <v>1</v>
      </c>
      <c r="F16" s="71" t="s">
        <v>46</v>
      </c>
      <c r="G16" s="71" t="s">
        <v>46</v>
      </c>
      <c r="H16"/>
      <c r="J16" s="83" t="s">
        <v>304</v>
      </c>
      <c r="K16" s="71">
        <v>0</v>
      </c>
      <c r="L16" s="71">
        <v>0.6</v>
      </c>
      <c r="M16" s="71"/>
      <c r="N16" s="71">
        <v>2</v>
      </c>
      <c r="T16" s="285" t="s">
        <v>308</v>
      </c>
      <c r="U16">
        <v>1100</v>
      </c>
      <c r="V16">
        <v>600</v>
      </c>
      <c r="W16">
        <v>300</v>
      </c>
      <c r="Y16" s="285" t="s">
        <v>305</v>
      </c>
      <c r="Z16">
        <v>2300</v>
      </c>
      <c r="AA16">
        <v>1100</v>
      </c>
      <c r="AB16">
        <v>600</v>
      </c>
    </row>
    <row r="17" spans="1:28">
      <c r="A17" s="82" t="s">
        <v>306</v>
      </c>
      <c r="B17" s="71">
        <v>10</v>
      </c>
      <c r="C17" s="71">
        <v>0.18</v>
      </c>
      <c r="D17" s="71">
        <v>20</v>
      </c>
      <c r="E17" s="71">
        <v>2</v>
      </c>
      <c r="F17" s="71" t="s">
        <v>46</v>
      </c>
      <c r="G17" s="71" t="s">
        <v>46</v>
      </c>
      <c r="H17"/>
      <c r="J17" s="83" t="s">
        <v>307</v>
      </c>
      <c r="K17" s="71">
        <v>0</v>
      </c>
      <c r="L17" s="71">
        <v>1</v>
      </c>
      <c r="M17" s="71"/>
      <c r="N17" s="71">
        <v>2</v>
      </c>
      <c r="T17" s="285" t="s">
        <v>277</v>
      </c>
      <c r="U17">
        <v>600</v>
      </c>
      <c r="V17">
        <v>250</v>
      </c>
      <c r="W17">
        <v>150</v>
      </c>
      <c r="Y17" s="285" t="s">
        <v>308</v>
      </c>
      <c r="Z17">
        <v>2300</v>
      </c>
      <c r="AA17">
        <v>1100</v>
      </c>
      <c r="AB17">
        <v>600</v>
      </c>
    </row>
    <row r="18" spans="1:28">
      <c r="A18" s="82" t="s">
        <v>309</v>
      </c>
      <c r="B18" s="71">
        <v>10</v>
      </c>
      <c r="C18" s="71">
        <v>0.12</v>
      </c>
      <c r="D18" s="71">
        <v>25</v>
      </c>
      <c r="E18" s="71">
        <v>1</v>
      </c>
      <c r="F18" s="71" t="s">
        <v>46</v>
      </c>
      <c r="G18" s="71" t="s">
        <v>46</v>
      </c>
      <c r="H18"/>
      <c r="J18" s="83" t="s">
        <v>310</v>
      </c>
      <c r="K18" s="71">
        <v>0</v>
      </c>
      <c r="L18" s="71">
        <v>0.5</v>
      </c>
      <c r="M18" s="71"/>
      <c r="N18" s="71">
        <v>2</v>
      </c>
      <c r="T18" s="285" t="s">
        <v>295</v>
      </c>
      <c r="U18">
        <v>800</v>
      </c>
      <c r="V18">
        <v>400</v>
      </c>
      <c r="W18">
        <v>250</v>
      </c>
      <c r="Y18" s="285" t="s">
        <v>121</v>
      </c>
      <c r="Z18">
        <v>5200</v>
      </c>
      <c r="AA18">
        <v>2350</v>
      </c>
      <c r="AB18">
        <v>1250</v>
      </c>
    </row>
    <row r="19" spans="1:28">
      <c r="A19" s="82" t="s">
        <v>311</v>
      </c>
      <c r="B19" s="71">
        <v>10</v>
      </c>
      <c r="C19" s="71">
        <v>0.12</v>
      </c>
      <c r="D19" s="71">
        <v>35</v>
      </c>
      <c r="E19" s="71">
        <v>1</v>
      </c>
      <c r="F19" s="71" t="s">
        <v>46</v>
      </c>
      <c r="G19" s="71" t="s">
        <v>46</v>
      </c>
      <c r="H19"/>
      <c r="J19" s="83" t="s">
        <v>312</v>
      </c>
      <c r="K19" s="71">
        <v>0</v>
      </c>
      <c r="L19" s="71">
        <v>1</v>
      </c>
      <c r="M19" s="71"/>
      <c r="N19" s="71">
        <v>2</v>
      </c>
      <c r="Q19" t="s">
        <v>108</v>
      </c>
      <c r="T19" s="285" t="s">
        <v>299</v>
      </c>
      <c r="U19">
        <v>800</v>
      </c>
      <c r="V19">
        <v>400</v>
      </c>
      <c r="W19">
        <v>250</v>
      </c>
      <c r="Y19" s="285" t="s">
        <v>313</v>
      </c>
      <c r="Z19">
        <v>5200</v>
      </c>
      <c r="AA19">
        <v>2350</v>
      </c>
      <c r="AB19">
        <v>1250</v>
      </c>
    </row>
    <row r="20" spans="1:28">
      <c r="A20" s="82" t="s">
        <v>314</v>
      </c>
      <c r="B20" s="71">
        <v>10</v>
      </c>
      <c r="C20" s="71">
        <v>0.12</v>
      </c>
      <c r="D20" s="71">
        <v>25</v>
      </c>
      <c r="E20" s="71">
        <v>1</v>
      </c>
      <c r="F20" s="71" t="s">
        <v>46</v>
      </c>
      <c r="G20" s="71" t="s">
        <v>46</v>
      </c>
      <c r="H20"/>
      <c r="J20" s="83" t="s">
        <v>315</v>
      </c>
      <c r="K20" s="71">
        <v>0</v>
      </c>
      <c r="L20" s="71">
        <v>1</v>
      </c>
      <c r="M20" s="71"/>
      <c r="N20" s="71">
        <v>2</v>
      </c>
      <c r="Q20" t="s">
        <v>46</v>
      </c>
      <c r="T20" s="285" t="s">
        <v>279</v>
      </c>
      <c r="U20">
        <v>600</v>
      </c>
      <c r="V20">
        <v>250</v>
      </c>
      <c r="W20">
        <v>150</v>
      </c>
      <c r="Y20" s="285" t="s">
        <v>316</v>
      </c>
      <c r="Z20">
        <v>5800</v>
      </c>
      <c r="AA20">
        <v>2600</v>
      </c>
      <c r="AB20">
        <v>1400</v>
      </c>
    </row>
    <row r="21" spans="1:28">
      <c r="A21" s="82" t="s">
        <v>317</v>
      </c>
      <c r="B21" s="71">
        <v>10</v>
      </c>
      <c r="C21" s="71">
        <v>0.18</v>
      </c>
      <c r="D21" s="71">
        <v>25</v>
      </c>
      <c r="E21" s="71">
        <v>2</v>
      </c>
      <c r="F21" s="71" t="s">
        <v>46</v>
      </c>
      <c r="G21" s="71" t="s">
        <v>46</v>
      </c>
      <c r="H21"/>
      <c r="J21" s="83" t="s">
        <v>318</v>
      </c>
      <c r="K21" s="71">
        <v>0</v>
      </c>
      <c r="L21" s="71">
        <v>1</v>
      </c>
      <c r="M21" s="71"/>
      <c r="N21" s="71">
        <v>3</v>
      </c>
      <c r="T21" s="285" t="s">
        <v>281</v>
      </c>
      <c r="U21">
        <v>600</v>
      </c>
      <c r="V21">
        <v>250</v>
      </c>
      <c r="W21">
        <v>150</v>
      </c>
      <c r="Y21" s="285" t="s">
        <v>319</v>
      </c>
      <c r="Z21">
        <v>12000</v>
      </c>
      <c r="AA21">
        <v>6000</v>
      </c>
      <c r="AB21">
        <v>3000</v>
      </c>
    </row>
    <row r="22" spans="1:28">
      <c r="A22" s="82" t="s">
        <v>320</v>
      </c>
      <c r="B22" s="71">
        <v>10</v>
      </c>
      <c r="C22" s="71">
        <v>0.18</v>
      </c>
      <c r="D22" s="71">
        <v>25</v>
      </c>
      <c r="E22" s="71">
        <v>3</v>
      </c>
      <c r="F22" s="71" t="s">
        <v>46</v>
      </c>
      <c r="G22" s="71" t="s">
        <v>46</v>
      </c>
      <c r="H22"/>
      <c r="J22" s="83" t="s">
        <v>321</v>
      </c>
      <c r="K22" s="71">
        <v>0</v>
      </c>
      <c r="L22" s="71">
        <v>0.3</v>
      </c>
      <c r="M22" s="71"/>
      <c r="N22" s="71">
        <v>2</v>
      </c>
    </row>
    <row r="23" spans="1:28">
      <c r="A23" s="82" t="s">
        <v>322</v>
      </c>
      <c r="B23" s="71">
        <v>7.5</v>
      </c>
      <c r="C23" s="71">
        <v>0.06</v>
      </c>
      <c r="D23" s="71">
        <v>65</v>
      </c>
      <c r="E23" s="71">
        <v>1</v>
      </c>
      <c r="F23" s="73" t="s">
        <v>108</v>
      </c>
      <c r="G23" s="71" t="s">
        <v>46</v>
      </c>
      <c r="H23"/>
      <c r="J23" s="83" t="s">
        <v>323</v>
      </c>
      <c r="K23" s="71">
        <v>0</v>
      </c>
      <c r="L23" s="71">
        <v>0.7</v>
      </c>
      <c r="M23" s="71"/>
      <c r="N23" s="71">
        <v>2</v>
      </c>
    </row>
    <row r="24" spans="1:28">
      <c r="A24" s="82" t="s">
        <v>324</v>
      </c>
      <c r="B24" s="71">
        <v>7.5</v>
      </c>
      <c r="C24" s="71">
        <v>0.06</v>
      </c>
      <c r="D24" s="71">
        <v>150</v>
      </c>
      <c r="E24" s="71">
        <v>1</v>
      </c>
      <c r="F24" s="73" t="s">
        <v>108</v>
      </c>
      <c r="G24" s="71" t="s">
        <v>46</v>
      </c>
      <c r="H24"/>
      <c r="J24" s="83" t="s">
        <v>325</v>
      </c>
      <c r="K24" s="71">
        <v>0</v>
      </c>
      <c r="L24" s="71">
        <v>0.5</v>
      </c>
      <c r="M24" s="71"/>
      <c r="N24" s="71">
        <v>2</v>
      </c>
    </row>
    <row r="25" spans="1:28">
      <c r="A25" s="82" t="s">
        <v>103</v>
      </c>
      <c r="B25" s="71">
        <v>5</v>
      </c>
      <c r="C25" s="71">
        <v>0.12</v>
      </c>
      <c r="D25" s="71">
        <v>10</v>
      </c>
      <c r="E25" s="71">
        <v>0</v>
      </c>
      <c r="F25" s="71" t="s">
        <v>46</v>
      </c>
      <c r="G25" s="71" t="s">
        <v>46</v>
      </c>
      <c r="H25"/>
      <c r="J25" s="83" t="s">
        <v>326</v>
      </c>
      <c r="K25" s="71">
        <v>0</v>
      </c>
      <c r="L25" s="71">
        <v>0.25</v>
      </c>
      <c r="M25" s="71"/>
      <c r="N25" s="71">
        <v>2</v>
      </c>
    </row>
    <row r="26" spans="1:28">
      <c r="A26" s="82" t="s">
        <v>327</v>
      </c>
      <c r="B26" s="71">
        <v>10</v>
      </c>
      <c r="C26" s="71">
        <v>0.12</v>
      </c>
      <c r="D26" s="71">
        <v>25</v>
      </c>
      <c r="E26" s="71">
        <v>1</v>
      </c>
      <c r="F26" s="71" t="s">
        <v>46</v>
      </c>
      <c r="G26" s="71" t="s">
        <v>46</v>
      </c>
      <c r="H26"/>
      <c r="J26" s="83" t="s">
        <v>328</v>
      </c>
      <c r="K26" s="71">
        <v>50</v>
      </c>
      <c r="L26" s="71"/>
      <c r="M26" s="71" t="s">
        <v>329</v>
      </c>
      <c r="N26" s="71">
        <v>2</v>
      </c>
      <c r="S26">
        <f>VLOOKUP(INPUT_OUTPUTS!C6,DCV_noEArecovery[#All],2)</f>
        <v>400</v>
      </c>
    </row>
    <row r="27" spans="1:28">
      <c r="A27" s="82" t="s">
        <v>330</v>
      </c>
      <c r="B27" s="71">
        <v>7.5</v>
      </c>
      <c r="C27" s="71">
        <v>0.06</v>
      </c>
      <c r="D27" s="71">
        <v>100</v>
      </c>
      <c r="E27" s="71">
        <v>1</v>
      </c>
      <c r="F27" s="73" t="s">
        <v>108</v>
      </c>
      <c r="G27" s="71" t="s">
        <v>46</v>
      </c>
      <c r="H27"/>
      <c r="J27" s="83" t="s">
        <v>331</v>
      </c>
      <c r="K27" s="71">
        <v>0</v>
      </c>
      <c r="L27" s="71">
        <v>0</v>
      </c>
      <c r="M27" s="71" t="s">
        <v>147</v>
      </c>
      <c r="N27" s="71">
        <v>4</v>
      </c>
    </row>
    <row r="28" spans="1:28">
      <c r="A28" s="82" t="s">
        <v>332</v>
      </c>
      <c r="B28" s="71">
        <v>10</v>
      </c>
      <c r="C28" s="71">
        <v>0.06</v>
      </c>
      <c r="D28" s="71">
        <v>35</v>
      </c>
      <c r="E28" s="71">
        <v>1</v>
      </c>
      <c r="F28" s="73" t="s">
        <v>108</v>
      </c>
      <c r="G28" s="71" t="s">
        <v>46</v>
      </c>
      <c r="H28"/>
      <c r="J28" s="83" t="s">
        <v>333</v>
      </c>
      <c r="K28" s="71">
        <v>0</v>
      </c>
      <c r="L28" s="71">
        <v>0.75</v>
      </c>
      <c r="M28" s="71" t="s">
        <v>334</v>
      </c>
      <c r="N28" s="71">
        <v>2</v>
      </c>
    </row>
    <row r="29" spans="1:28">
      <c r="A29" s="82" t="s">
        <v>335</v>
      </c>
      <c r="B29" s="71">
        <v>10</v>
      </c>
      <c r="C29" s="71">
        <v>0.18</v>
      </c>
      <c r="D29" s="71">
        <v>25</v>
      </c>
      <c r="E29" s="71">
        <v>2</v>
      </c>
      <c r="F29" s="71" t="s">
        <v>46</v>
      </c>
      <c r="G29" s="71" t="s">
        <v>46</v>
      </c>
      <c r="H29"/>
      <c r="J29" s="83" t="s">
        <v>336</v>
      </c>
      <c r="K29" s="71">
        <v>0</v>
      </c>
      <c r="L29" s="71">
        <v>0.9</v>
      </c>
      <c r="M29" s="71"/>
      <c r="N29" s="71">
        <v>2</v>
      </c>
    </row>
    <row r="30" spans="1:28">
      <c r="A30" s="82" t="s">
        <v>337</v>
      </c>
      <c r="B30" s="71">
        <v>10</v>
      </c>
      <c r="C30" s="71">
        <v>0.18</v>
      </c>
      <c r="D30" s="71">
        <v>25</v>
      </c>
      <c r="E30" s="71">
        <v>2</v>
      </c>
      <c r="F30" s="71" t="s">
        <v>46</v>
      </c>
      <c r="G30" s="71" t="s">
        <v>46</v>
      </c>
      <c r="H30"/>
      <c r="J30" s="83" t="s">
        <v>338</v>
      </c>
      <c r="K30" s="71">
        <v>0</v>
      </c>
      <c r="L30" s="71">
        <v>0</v>
      </c>
      <c r="M30" s="71" t="s">
        <v>147</v>
      </c>
      <c r="N30" s="71">
        <v>3</v>
      </c>
    </row>
    <row r="31" spans="1:28">
      <c r="A31" s="82" t="s">
        <v>339</v>
      </c>
      <c r="B31" s="71">
        <v>10</v>
      </c>
      <c r="C31" s="71">
        <v>0.18</v>
      </c>
      <c r="D31" s="71">
        <v>20</v>
      </c>
      <c r="E31" s="71">
        <v>2</v>
      </c>
      <c r="F31" s="71" t="s">
        <v>46</v>
      </c>
      <c r="G31" s="71" t="s">
        <v>46</v>
      </c>
      <c r="H31"/>
      <c r="J31" s="83" t="s">
        <v>340</v>
      </c>
      <c r="K31" s="71">
        <v>100</v>
      </c>
      <c r="L31" s="71">
        <v>0</v>
      </c>
      <c r="M31" s="71" t="s">
        <v>329</v>
      </c>
      <c r="N31" s="71">
        <v>2</v>
      </c>
    </row>
    <row r="32" spans="1:28">
      <c r="A32" s="82" t="s">
        <v>341</v>
      </c>
      <c r="B32" s="71">
        <v>7.5</v>
      </c>
      <c r="C32" s="71">
        <v>0.18</v>
      </c>
      <c r="D32" s="71">
        <v>100</v>
      </c>
      <c r="E32" s="71">
        <v>2</v>
      </c>
      <c r="F32" s="71" t="s">
        <v>46</v>
      </c>
      <c r="G32" s="71" t="s">
        <v>46</v>
      </c>
      <c r="H32"/>
      <c r="J32" s="83" t="s">
        <v>342</v>
      </c>
      <c r="K32" s="71">
        <v>0</v>
      </c>
      <c r="L32" s="71">
        <v>1</v>
      </c>
      <c r="M32" s="71" t="s">
        <v>147</v>
      </c>
      <c r="N32" s="71">
        <v>3</v>
      </c>
    </row>
    <row r="33" spans="1:14">
      <c r="A33" s="82" t="s">
        <v>343</v>
      </c>
      <c r="B33" s="71">
        <v>7.5</v>
      </c>
      <c r="C33" s="71">
        <v>0.18</v>
      </c>
      <c r="D33" s="71">
        <v>100</v>
      </c>
      <c r="E33" s="71">
        <v>2</v>
      </c>
      <c r="F33" s="71" t="s">
        <v>46</v>
      </c>
      <c r="G33" s="71" t="s">
        <v>46</v>
      </c>
      <c r="H33"/>
      <c r="J33" s="83" t="s">
        <v>344</v>
      </c>
      <c r="K33" s="71">
        <v>0</v>
      </c>
      <c r="L33" s="71">
        <v>1.5</v>
      </c>
      <c r="M33" s="71" t="s">
        <v>147</v>
      </c>
      <c r="N33" s="71">
        <v>4</v>
      </c>
    </row>
    <row r="34" spans="1:14">
      <c r="A34" s="82" t="s">
        <v>345</v>
      </c>
      <c r="B34" s="71">
        <v>7.5</v>
      </c>
      <c r="C34" s="71">
        <v>0.12</v>
      </c>
      <c r="D34" s="71">
        <v>20</v>
      </c>
      <c r="E34" s="71">
        <v>2</v>
      </c>
      <c r="F34" s="71" t="s">
        <v>46</v>
      </c>
      <c r="G34" s="71" t="s">
        <v>46</v>
      </c>
      <c r="H34"/>
      <c r="J34" s="83" t="s">
        <v>69</v>
      </c>
      <c r="K34" s="71">
        <v>50</v>
      </c>
      <c r="L34" s="71">
        <v>0</v>
      </c>
      <c r="M34" s="71" t="s">
        <v>346</v>
      </c>
      <c r="N34" s="71">
        <v>2</v>
      </c>
    </row>
    <row r="35" spans="1:14">
      <c r="A35" s="82" t="s">
        <v>347</v>
      </c>
      <c r="B35" s="71">
        <v>7.5</v>
      </c>
      <c r="C35" s="71">
        <v>0.18</v>
      </c>
      <c r="D35" s="71">
        <v>70</v>
      </c>
      <c r="E35" s="71">
        <v>2</v>
      </c>
      <c r="F35" s="71" t="s">
        <v>46</v>
      </c>
      <c r="G35" s="71" t="s">
        <v>46</v>
      </c>
      <c r="H35"/>
      <c r="J35" s="83" t="s">
        <v>348</v>
      </c>
      <c r="K35" s="71">
        <v>70</v>
      </c>
      <c r="L35" s="71">
        <v>0</v>
      </c>
      <c r="M35" s="71" t="s">
        <v>349</v>
      </c>
      <c r="N35" s="71">
        <v>2</v>
      </c>
    </row>
    <row r="36" spans="1:14">
      <c r="A36" s="82" t="s">
        <v>350</v>
      </c>
      <c r="B36" s="71">
        <v>5</v>
      </c>
      <c r="C36" s="71">
        <v>0.06</v>
      </c>
      <c r="D36" s="71">
        <v>25</v>
      </c>
      <c r="E36" s="71">
        <v>1</v>
      </c>
      <c r="F36" s="73" t="s">
        <v>108</v>
      </c>
      <c r="G36" s="71" t="s">
        <v>46</v>
      </c>
      <c r="H36"/>
      <c r="J36" s="83" t="s">
        <v>45</v>
      </c>
      <c r="K36" s="71">
        <v>0</v>
      </c>
      <c r="L36" s="71">
        <v>0</v>
      </c>
      <c r="M36" s="71">
        <v>0</v>
      </c>
      <c r="N36" s="71">
        <v>0</v>
      </c>
    </row>
    <row r="37" spans="1:14">
      <c r="A37" s="82" t="s">
        <v>351</v>
      </c>
      <c r="B37" s="71">
        <v>5</v>
      </c>
      <c r="C37" s="71">
        <v>0.06</v>
      </c>
      <c r="D37" s="71">
        <v>20</v>
      </c>
      <c r="E37" s="71">
        <v>1</v>
      </c>
      <c r="F37" s="73" t="s">
        <v>108</v>
      </c>
      <c r="G37" s="71" t="s">
        <v>46</v>
      </c>
      <c r="H37"/>
      <c r="J37" s="83" t="s">
        <v>352</v>
      </c>
      <c r="K37" s="71">
        <v>0</v>
      </c>
      <c r="L37" s="71">
        <v>0.5</v>
      </c>
      <c r="M37" s="71"/>
      <c r="N37" s="71">
        <v>2</v>
      </c>
    </row>
    <row r="38" spans="1:14">
      <c r="A38" s="82" t="s">
        <v>72</v>
      </c>
      <c r="B38" s="71">
        <v>5</v>
      </c>
      <c r="C38" s="71">
        <v>0.06</v>
      </c>
      <c r="D38" s="71">
        <v>50</v>
      </c>
      <c r="E38" s="71">
        <v>1</v>
      </c>
      <c r="F38" s="73" t="s">
        <v>108</v>
      </c>
      <c r="G38" s="71" t="s">
        <v>46</v>
      </c>
      <c r="H38"/>
    </row>
    <row r="39" spans="1:14">
      <c r="A39" s="82" t="s">
        <v>353</v>
      </c>
      <c r="B39" s="71">
        <v>0</v>
      </c>
      <c r="C39" s="71">
        <v>0.06</v>
      </c>
      <c r="D39" s="71">
        <v>0</v>
      </c>
      <c r="E39" s="71">
        <v>1</v>
      </c>
      <c r="F39" s="73" t="s">
        <v>108</v>
      </c>
      <c r="G39" s="71" t="s">
        <v>108</v>
      </c>
      <c r="H39"/>
    </row>
    <row r="40" spans="1:14">
      <c r="A40" s="82" t="s">
        <v>354</v>
      </c>
      <c r="B40" s="71">
        <v>5</v>
      </c>
      <c r="C40" s="71">
        <v>0.12</v>
      </c>
      <c r="D40" s="71">
        <v>2</v>
      </c>
      <c r="E40" s="71">
        <v>2</v>
      </c>
      <c r="F40" s="73" t="s">
        <v>108</v>
      </c>
      <c r="G40" s="71" t="s">
        <v>46</v>
      </c>
      <c r="H40"/>
    </row>
    <row r="41" spans="1:14">
      <c r="A41" s="82" t="s">
        <v>100</v>
      </c>
      <c r="B41" s="71">
        <v>0</v>
      </c>
      <c r="C41" s="71">
        <v>0</v>
      </c>
      <c r="D41" s="71">
        <v>0</v>
      </c>
      <c r="E41" s="71">
        <v>2</v>
      </c>
      <c r="F41" s="71" t="s">
        <v>46</v>
      </c>
      <c r="G41" s="71" t="s">
        <v>108</v>
      </c>
      <c r="H41"/>
    </row>
    <row r="42" spans="1:14">
      <c r="A42" s="82" t="s">
        <v>355</v>
      </c>
      <c r="B42" s="71">
        <v>5</v>
      </c>
      <c r="C42" s="71">
        <v>0.06</v>
      </c>
      <c r="D42" s="71">
        <v>20</v>
      </c>
      <c r="E42" s="71">
        <v>1</v>
      </c>
      <c r="F42" s="73" t="s">
        <v>108</v>
      </c>
      <c r="G42" s="71" t="s">
        <v>46</v>
      </c>
      <c r="H42"/>
    </row>
    <row r="43" spans="1:14">
      <c r="A43" s="82" t="s">
        <v>356</v>
      </c>
      <c r="B43" s="71">
        <v>5</v>
      </c>
      <c r="C43" s="71">
        <v>0.06</v>
      </c>
      <c r="D43" s="71">
        <v>10</v>
      </c>
      <c r="E43" s="71">
        <v>1</v>
      </c>
      <c r="F43" s="71" t="s">
        <v>46</v>
      </c>
      <c r="G43" s="71" t="s">
        <v>46</v>
      </c>
      <c r="H43"/>
    </row>
    <row r="44" spans="1:14">
      <c r="A44" s="82" t="s">
        <v>357</v>
      </c>
      <c r="B44" s="71">
        <v>5</v>
      </c>
      <c r="C44" s="71">
        <v>0.12</v>
      </c>
      <c r="D44" s="71">
        <v>10</v>
      </c>
      <c r="E44" s="71">
        <v>1</v>
      </c>
      <c r="F44" s="71" t="s">
        <v>46</v>
      </c>
      <c r="G44" s="71" t="s">
        <v>46</v>
      </c>
      <c r="H44"/>
    </row>
    <row r="45" spans="1:14">
      <c r="A45" s="82" t="s">
        <v>358</v>
      </c>
      <c r="B45" s="71">
        <v>5</v>
      </c>
      <c r="C45" s="71">
        <v>0.12</v>
      </c>
      <c r="D45" s="71">
        <v>10</v>
      </c>
      <c r="E45" s="71">
        <v>2</v>
      </c>
      <c r="F45" s="71" t="s">
        <v>46</v>
      </c>
      <c r="G45" s="71" t="s">
        <v>46</v>
      </c>
      <c r="H45"/>
    </row>
    <row r="46" spans="1:14">
      <c r="A46" s="82" t="s">
        <v>359</v>
      </c>
      <c r="B46" s="71">
        <v>7.5</v>
      </c>
      <c r="C46" s="71">
        <v>0.06</v>
      </c>
      <c r="D46" s="71">
        <v>30</v>
      </c>
      <c r="E46" s="71">
        <v>1</v>
      </c>
      <c r="F46" s="73" t="s">
        <v>108</v>
      </c>
      <c r="G46" s="71" t="s">
        <v>46</v>
      </c>
      <c r="H46"/>
    </row>
    <row r="47" spans="1:14">
      <c r="A47" s="82" t="s">
        <v>360</v>
      </c>
      <c r="B47" s="71">
        <v>5</v>
      </c>
      <c r="C47" s="71">
        <v>0.06</v>
      </c>
      <c r="D47" s="71">
        <v>120</v>
      </c>
      <c r="E47" s="71">
        <v>1</v>
      </c>
      <c r="F47" s="73" t="s">
        <v>108</v>
      </c>
      <c r="G47" s="71" t="s">
        <v>46</v>
      </c>
      <c r="H47"/>
    </row>
    <row r="48" spans="1:14">
      <c r="A48" s="82" t="s">
        <v>361</v>
      </c>
      <c r="B48" s="71">
        <v>5</v>
      </c>
      <c r="C48" s="71">
        <v>0.06</v>
      </c>
      <c r="D48" s="71">
        <v>5</v>
      </c>
      <c r="E48" s="71">
        <v>2</v>
      </c>
      <c r="F48" s="73" t="s">
        <v>108</v>
      </c>
      <c r="G48" s="71" t="s">
        <v>46</v>
      </c>
      <c r="H48"/>
    </row>
    <row r="49" spans="1:8">
      <c r="A49" s="82" t="s">
        <v>362</v>
      </c>
      <c r="B49" s="71">
        <v>7.5</v>
      </c>
      <c r="C49" s="71">
        <v>0.06</v>
      </c>
      <c r="D49" s="71">
        <v>15</v>
      </c>
      <c r="E49" s="71">
        <v>1</v>
      </c>
      <c r="F49" s="73" t="s">
        <v>108</v>
      </c>
      <c r="G49" s="71" t="s">
        <v>46</v>
      </c>
      <c r="H49"/>
    </row>
    <row r="50" spans="1:8">
      <c r="A50" s="82" t="s">
        <v>363</v>
      </c>
      <c r="B50" s="71">
        <v>5</v>
      </c>
      <c r="C50" s="71">
        <v>0.06</v>
      </c>
      <c r="D50" s="71">
        <v>4</v>
      </c>
      <c r="E50" s="71">
        <v>1</v>
      </c>
      <c r="F50" s="73" t="s">
        <v>108</v>
      </c>
      <c r="G50" s="71" t="s">
        <v>46</v>
      </c>
      <c r="H50"/>
    </row>
    <row r="51" spans="1:8">
      <c r="A51" s="82" t="s">
        <v>364</v>
      </c>
      <c r="B51" s="71">
        <v>10</v>
      </c>
      <c r="C51" s="71">
        <v>0</v>
      </c>
      <c r="D51" s="71">
        <v>0</v>
      </c>
      <c r="E51" s="71">
        <v>2</v>
      </c>
      <c r="F51" s="71" t="s">
        <v>46</v>
      </c>
      <c r="G51" s="71" t="s">
        <v>46</v>
      </c>
      <c r="H51"/>
    </row>
    <row r="52" spans="1:8">
      <c r="A52" s="82" t="s">
        <v>365</v>
      </c>
      <c r="B52" s="71">
        <v>10</v>
      </c>
      <c r="C52" s="71">
        <v>0.18</v>
      </c>
      <c r="D52" s="71">
        <v>7</v>
      </c>
      <c r="E52" s="71">
        <v>2</v>
      </c>
      <c r="F52" s="71" t="s">
        <v>46</v>
      </c>
      <c r="G52" s="71" t="s">
        <v>46</v>
      </c>
      <c r="H52"/>
    </row>
    <row r="53" spans="1:8">
      <c r="A53" s="82" t="s">
        <v>366</v>
      </c>
      <c r="B53" s="71">
        <v>10</v>
      </c>
      <c r="C53" s="71">
        <v>0.18</v>
      </c>
      <c r="D53" s="71">
        <v>7</v>
      </c>
      <c r="E53" s="71">
        <v>3</v>
      </c>
      <c r="F53" s="71" t="s">
        <v>46</v>
      </c>
      <c r="G53" s="71" t="s">
        <v>46</v>
      </c>
      <c r="H53"/>
    </row>
    <row r="54" spans="1:8">
      <c r="A54" s="82" t="s">
        <v>367</v>
      </c>
      <c r="B54" s="71">
        <v>5</v>
      </c>
      <c r="C54" s="71">
        <v>0.18</v>
      </c>
      <c r="D54" s="71">
        <v>10</v>
      </c>
      <c r="E54" s="71">
        <v>2</v>
      </c>
      <c r="F54" s="71" t="s">
        <v>46</v>
      </c>
      <c r="G54" s="71" t="s">
        <v>46</v>
      </c>
      <c r="H54"/>
    </row>
    <row r="55" spans="1:8">
      <c r="A55" s="82" t="s">
        <v>261</v>
      </c>
      <c r="B55" s="71">
        <v>5</v>
      </c>
      <c r="C55" s="71">
        <v>0.12</v>
      </c>
      <c r="D55" s="71">
        <v>10</v>
      </c>
      <c r="E55" s="71">
        <v>1</v>
      </c>
      <c r="F55" s="71" t="s">
        <v>46</v>
      </c>
      <c r="G55" s="71" t="s">
        <v>46</v>
      </c>
      <c r="H55"/>
    </row>
    <row r="56" spans="1:8">
      <c r="A56" s="82" t="s">
        <v>368</v>
      </c>
      <c r="B56" s="71">
        <v>10</v>
      </c>
      <c r="C56" s="71">
        <v>0.12</v>
      </c>
      <c r="D56" s="71">
        <v>2</v>
      </c>
      <c r="E56" s="71">
        <v>2</v>
      </c>
      <c r="F56" s="71" t="s">
        <v>46</v>
      </c>
      <c r="G56" s="71" t="s">
        <v>46</v>
      </c>
      <c r="H56"/>
    </row>
    <row r="57" spans="1:8">
      <c r="A57" s="82" t="s">
        <v>369</v>
      </c>
      <c r="B57" s="71">
        <v>7.5</v>
      </c>
      <c r="C57" s="71">
        <v>0.12</v>
      </c>
      <c r="D57" s="71">
        <v>7</v>
      </c>
      <c r="E57" s="71">
        <v>2</v>
      </c>
      <c r="F57" s="71" t="s">
        <v>46</v>
      </c>
      <c r="G57" s="71" t="s">
        <v>46</v>
      </c>
      <c r="H57"/>
    </row>
    <row r="58" spans="1:8">
      <c r="A58" s="82" t="s">
        <v>370</v>
      </c>
      <c r="B58" s="71">
        <v>0</v>
      </c>
      <c r="C58" s="71">
        <v>0</v>
      </c>
      <c r="D58" s="71">
        <v>0</v>
      </c>
      <c r="E58" s="71">
        <v>1</v>
      </c>
      <c r="F58" s="71" t="s">
        <v>46</v>
      </c>
      <c r="G58" s="71" t="s">
        <v>46</v>
      </c>
      <c r="H58"/>
    </row>
    <row r="59" spans="1:8">
      <c r="A59" s="82" t="s">
        <v>371</v>
      </c>
      <c r="B59" s="71">
        <v>7.5</v>
      </c>
      <c r="C59" s="71">
        <v>0.06</v>
      </c>
      <c r="D59" s="71">
        <v>100</v>
      </c>
      <c r="E59" s="71">
        <v>1</v>
      </c>
      <c r="F59" s="73" t="s">
        <v>108</v>
      </c>
      <c r="G59" s="71" t="s">
        <v>46</v>
      </c>
      <c r="H59"/>
    </row>
    <row r="60" spans="1:8">
      <c r="A60" s="82" t="s">
        <v>372</v>
      </c>
      <c r="B60" s="71">
        <v>10</v>
      </c>
      <c r="C60" s="71">
        <v>0.06</v>
      </c>
      <c r="D60" s="71">
        <v>0</v>
      </c>
      <c r="E60" s="71">
        <v>2</v>
      </c>
      <c r="F60" s="71" t="s">
        <v>46</v>
      </c>
      <c r="G60" s="71" t="s">
        <v>108</v>
      </c>
      <c r="H60"/>
    </row>
    <row r="61" spans="1:8">
      <c r="A61" s="82" t="s">
        <v>373</v>
      </c>
      <c r="B61" s="71">
        <v>5</v>
      </c>
      <c r="C61" s="71">
        <v>0.12</v>
      </c>
      <c r="D61" s="71">
        <v>50</v>
      </c>
      <c r="E61" s="71">
        <v>1</v>
      </c>
      <c r="F61" s="71" t="s">
        <v>46</v>
      </c>
      <c r="G61" s="71" t="s">
        <v>46</v>
      </c>
      <c r="H61"/>
    </row>
    <row r="62" spans="1:8">
      <c r="A62" s="82" t="s">
        <v>374</v>
      </c>
      <c r="B62" s="71">
        <v>5</v>
      </c>
      <c r="C62" s="71">
        <v>0.06</v>
      </c>
      <c r="D62" s="71">
        <v>10</v>
      </c>
      <c r="E62" s="71">
        <v>1</v>
      </c>
      <c r="F62" s="73" t="s">
        <v>108</v>
      </c>
      <c r="G62" s="71" t="s">
        <v>46</v>
      </c>
      <c r="H62"/>
    </row>
    <row r="63" spans="1:8">
      <c r="A63" s="82" t="s">
        <v>375</v>
      </c>
      <c r="B63" s="71">
        <v>5</v>
      </c>
      <c r="C63" s="71">
        <v>0.06</v>
      </c>
      <c r="D63" s="71">
        <v>2</v>
      </c>
      <c r="E63" s="71">
        <v>1</v>
      </c>
      <c r="F63" s="71" t="s">
        <v>46</v>
      </c>
      <c r="G63" s="71" t="s">
        <v>108</v>
      </c>
      <c r="H63"/>
    </row>
    <row r="64" spans="1:8">
      <c r="A64" s="82" t="s">
        <v>376</v>
      </c>
      <c r="B64" s="71">
        <v>5</v>
      </c>
      <c r="C64" s="71">
        <v>0.06</v>
      </c>
      <c r="D64" s="71">
        <v>5</v>
      </c>
      <c r="E64" s="71">
        <v>1</v>
      </c>
      <c r="F64" s="73" t="s">
        <v>108</v>
      </c>
      <c r="G64" s="71" t="s">
        <v>46</v>
      </c>
      <c r="H64"/>
    </row>
    <row r="65" spans="1:8">
      <c r="A65" s="82" t="s">
        <v>377</v>
      </c>
      <c r="B65" s="71">
        <v>5</v>
      </c>
      <c r="C65" s="71">
        <v>0.06</v>
      </c>
      <c r="D65" s="71">
        <v>30</v>
      </c>
      <c r="E65" s="71">
        <v>1</v>
      </c>
      <c r="F65" s="73" t="s">
        <v>108</v>
      </c>
      <c r="G65" s="71" t="s">
        <v>46</v>
      </c>
      <c r="H65"/>
    </row>
    <row r="66" spans="1:8">
      <c r="A66" s="82" t="s">
        <v>378</v>
      </c>
      <c r="B66" s="71">
        <v>5</v>
      </c>
      <c r="C66" s="71">
        <v>0.06</v>
      </c>
      <c r="D66" s="71">
        <v>60</v>
      </c>
      <c r="E66" s="71">
        <v>1</v>
      </c>
      <c r="F66" s="73" t="s">
        <v>108</v>
      </c>
      <c r="G66" s="71" t="s">
        <v>46</v>
      </c>
      <c r="H66"/>
    </row>
    <row r="67" spans="1:8">
      <c r="A67" s="82" t="s">
        <v>379</v>
      </c>
      <c r="B67" s="71">
        <v>5</v>
      </c>
      <c r="C67" s="71">
        <v>0.06</v>
      </c>
      <c r="D67" s="71">
        <v>150</v>
      </c>
      <c r="E67" s="71">
        <v>1</v>
      </c>
      <c r="F67" s="73" t="s">
        <v>108</v>
      </c>
      <c r="G67" s="71" t="s">
        <v>46</v>
      </c>
      <c r="H67"/>
    </row>
    <row r="68" spans="1:8">
      <c r="A68" s="82" t="s">
        <v>380</v>
      </c>
      <c r="B68" s="71">
        <v>5</v>
      </c>
      <c r="C68" s="71">
        <v>0.06</v>
      </c>
      <c r="D68" s="71">
        <v>70</v>
      </c>
      <c r="E68" s="71">
        <v>1</v>
      </c>
      <c r="F68" s="73" t="s">
        <v>108</v>
      </c>
      <c r="G68" s="71" t="s">
        <v>46</v>
      </c>
      <c r="H68"/>
    </row>
    <row r="69" spans="1:8">
      <c r="A69" s="82" t="s">
        <v>381</v>
      </c>
      <c r="B69" s="71">
        <v>5</v>
      </c>
      <c r="C69" s="71">
        <v>0.06</v>
      </c>
      <c r="D69" s="71">
        <v>50</v>
      </c>
      <c r="E69" s="71">
        <v>1</v>
      </c>
      <c r="F69" s="73" t="s">
        <v>108</v>
      </c>
      <c r="G69" s="71" t="s">
        <v>46</v>
      </c>
      <c r="H69"/>
    </row>
    <row r="70" spans="1:8">
      <c r="A70" s="82" t="s">
        <v>382</v>
      </c>
      <c r="B70" s="71">
        <v>5</v>
      </c>
      <c r="C70" s="71">
        <v>0.12</v>
      </c>
      <c r="D70" s="71">
        <v>10</v>
      </c>
      <c r="E70" s="71">
        <v>1</v>
      </c>
      <c r="F70" s="71" t="s">
        <v>46</v>
      </c>
      <c r="G70" s="71" t="s">
        <v>46</v>
      </c>
      <c r="H70"/>
    </row>
    <row r="71" spans="1:8">
      <c r="A71" s="82" t="s">
        <v>383</v>
      </c>
      <c r="B71" s="71">
        <v>5</v>
      </c>
      <c r="C71" s="71">
        <v>0.06</v>
      </c>
      <c r="D71" s="71">
        <v>150</v>
      </c>
      <c r="E71" s="71">
        <v>1</v>
      </c>
      <c r="F71" s="73" t="s">
        <v>108</v>
      </c>
      <c r="G71" s="71" t="s">
        <v>46</v>
      </c>
      <c r="H71"/>
    </row>
    <row r="72" spans="1:8">
      <c r="A72" s="82" t="s">
        <v>384</v>
      </c>
      <c r="B72" s="71">
        <v>7.5</v>
      </c>
      <c r="C72" s="71">
        <v>0.12</v>
      </c>
      <c r="D72" s="71">
        <v>40</v>
      </c>
      <c r="E72" s="71">
        <v>1</v>
      </c>
      <c r="F72" s="71" t="s">
        <v>46</v>
      </c>
      <c r="G72" s="71" t="s">
        <v>46</v>
      </c>
      <c r="H72"/>
    </row>
    <row r="73" spans="1:8">
      <c r="A73" s="82" t="s">
        <v>385</v>
      </c>
      <c r="B73" s="71">
        <v>7.5</v>
      </c>
      <c r="C73" s="71">
        <v>0.06</v>
      </c>
      <c r="D73" s="71">
        <v>40</v>
      </c>
      <c r="E73" s="71">
        <v>1</v>
      </c>
      <c r="F73" s="73" t="s">
        <v>108</v>
      </c>
      <c r="G73" s="71" t="s">
        <v>46</v>
      </c>
      <c r="H73"/>
    </row>
    <row r="74" spans="1:8">
      <c r="A74" s="82" t="s">
        <v>386</v>
      </c>
      <c r="B74" s="71">
        <v>5</v>
      </c>
      <c r="C74" s="71">
        <v>0.06</v>
      </c>
      <c r="D74" s="71">
        <v>120</v>
      </c>
      <c r="E74" s="71">
        <v>1</v>
      </c>
      <c r="F74" s="73" t="s">
        <v>108</v>
      </c>
      <c r="G74" s="71" t="s">
        <v>46</v>
      </c>
      <c r="H74"/>
    </row>
    <row r="75" spans="1:8">
      <c r="A75" s="82" t="s">
        <v>387</v>
      </c>
      <c r="B75" s="71">
        <v>0</v>
      </c>
      <c r="C75" s="71">
        <v>0.06</v>
      </c>
      <c r="D75" s="71">
        <v>0</v>
      </c>
      <c r="E75" s="71">
        <v>1</v>
      </c>
      <c r="F75" s="73" t="s">
        <v>108</v>
      </c>
      <c r="G75" s="71" t="s">
        <v>108</v>
      </c>
      <c r="H75"/>
    </row>
    <row r="76" spans="1:8">
      <c r="A76" s="82" t="s">
        <v>388</v>
      </c>
      <c r="B76" s="71">
        <v>7.5</v>
      </c>
      <c r="C76" s="71">
        <v>0.06</v>
      </c>
      <c r="D76" s="71">
        <v>25</v>
      </c>
      <c r="E76" s="71">
        <v>2</v>
      </c>
      <c r="F76" s="73" t="s">
        <v>108</v>
      </c>
      <c r="G76" s="71" t="s">
        <v>46</v>
      </c>
      <c r="H76"/>
    </row>
    <row r="77" spans="1:8">
      <c r="A77" s="82" t="s">
        <v>389</v>
      </c>
      <c r="B77" s="71">
        <v>20</v>
      </c>
      <c r="C77" s="71">
        <v>0.12</v>
      </c>
      <c r="D77" s="71">
        <v>25</v>
      </c>
      <c r="E77" s="71">
        <v>2</v>
      </c>
      <c r="F77" s="71" t="s">
        <v>46</v>
      </c>
      <c r="G77" s="71" t="s">
        <v>46</v>
      </c>
      <c r="H77"/>
    </row>
    <row r="78" spans="1:8">
      <c r="A78" s="82" t="s">
        <v>390</v>
      </c>
      <c r="B78" s="71">
        <v>7.5</v>
      </c>
      <c r="C78" s="71">
        <v>0.12</v>
      </c>
      <c r="D78" s="71">
        <v>20</v>
      </c>
      <c r="E78" s="71">
        <v>2</v>
      </c>
      <c r="F78" s="71" t="s">
        <v>46</v>
      </c>
      <c r="G78" s="71" t="s">
        <v>46</v>
      </c>
      <c r="H78"/>
    </row>
    <row r="79" spans="1:8">
      <c r="A79" s="82" t="s">
        <v>391</v>
      </c>
      <c r="B79" s="71">
        <v>7.5</v>
      </c>
      <c r="C79" s="71">
        <v>0.06</v>
      </c>
      <c r="D79" s="71">
        <v>40</v>
      </c>
      <c r="E79" s="71">
        <v>1</v>
      </c>
      <c r="F79" s="73" t="s">
        <v>108</v>
      </c>
      <c r="G79" s="71" t="s">
        <v>46</v>
      </c>
      <c r="H79"/>
    </row>
    <row r="80" spans="1:8">
      <c r="A80" s="82" t="s">
        <v>392</v>
      </c>
      <c r="B80" s="71">
        <v>7.5</v>
      </c>
      <c r="C80" s="71">
        <v>0.18</v>
      </c>
      <c r="D80" s="71">
        <v>10</v>
      </c>
      <c r="E80" s="71">
        <v>2</v>
      </c>
      <c r="F80" s="71" t="s">
        <v>46</v>
      </c>
      <c r="G80" s="71" t="s">
        <v>46</v>
      </c>
      <c r="H80"/>
    </row>
    <row r="81" spans="1:8">
      <c r="A81" s="82" t="s">
        <v>393</v>
      </c>
      <c r="B81" s="71">
        <v>7.5</v>
      </c>
      <c r="C81" s="71">
        <v>0.12</v>
      </c>
      <c r="D81" s="71">
        <v>15</v>
      </c>
      <c r="E81" s="71">
        <v>2</v>
      </c>
      <c r="F81" s="71" t="s">
        <v>46</v>
      </c>
      <c r="G81" s="71" t="s">
        <v>46</v>
      </c>
      <c r="H81"/>
    </row>
    <row r="82" spans="1:8">
      <c r="A82" s="82" t="s">
        <v>394</v>
      </c>
      <c r="B82" s="71">
        <v>7.5</v>
      </c>
      <c r="C82" s="71">
        <v>0.06</v>
      </c>
      <c r="D82" s="71">
        <v>8</v>
      </c>
      <c r="E82" s="71">
        <v>1</v>
      </c>
      <c r="F82" s="73" t="s">
        <v>108</v>
      </c>
      <c r="G82" s="71" t="s">
        <v>46</v>
      </c>
      <c r="H82"/>
    </row>
    <row r="83" spans="1:8">
      <c r="A83" s="82" t="s">
        <v>395</v>
      </c>
      <c r="B83" s="71">
        <v>10</v>
      </c>
      <c r="C83" s="71">
        <v>0.12</v>
      </c>
      <c r="D83" s="71">
        <v>40</v>
      </c>
      <c r="E83" s="71">
        <v>1</v>
      </c>
      <c r="F83" s="71" t="s">
        <v>46</v>
      </c>
      <c r="G83" s="71" t="s">
        <v>46</v>
      </c>
      <c r="H83"/>
    </row>
    <row r="84" spans="1:8">
      <c r="A84" s="82" t="s">
        <v>396</v>
      </c>
      <c r="B84" s="71">
        <v>20</v>
      </c>
      <c r="C84" s="71">
        <v>0.06</v>
      </c>
      <c r="D84" s="71">
        <v>100</v>
      </c>
      <c r="E84" s="71">
        <v>2</v>
      </c>
      <c r="F84" s="73" t="s">
        <v>108</v>
      </c>
      <c r="G84" s="71" t="s">
        <v>46</v>
      </c>
      <c r="H84"/>
    </row>
    <row r="85" spans="1:8">
      <c r="A85" s="82" t="s">
        <v>397</v>
      </c>
      <c r="B85" s="71">
        <v>7.5</v>
      </c>
      <c r="C85" s="71">
        <v>0.18</v>
      </c>
      <c r="D85" s="71">
        <v>120</v>
      </c>
      <c r="E85" s="71">
        <v>1</v>
      </c>
      <c r="F85" s="71" t="s">
        <v>46</v>
      </c>
      <c r="G85" s="71" t="s">
        <v>46</v>
      </c>
      <c r="H85"/>
    </row>
    <row r="86" spans="1:8">
      <c r="A86" s="82" t="s">
        <v>398</v>
      </c>
      <c r="B86" s="71">
        <v>7.5</v>
      </c>
      <c r="C86" s="71">
        <v>0.18</v>
      </c>
      <c r="D86" s="71">
        <v>20</v>
      </c>
      <c r="E86" s="71">
        <v>1</v>
      </c>
      <c r="F86" s="71" t="s">
        <v>46</v>
      </c>
      <c r="G86" s="71" t="s">
        <v>46</v>
      </c>
      <c r="H86"/>
    </row>
    <row r="87" spans="1:8">
      <c r="A87" s="82" t="s">
        <v>399</v>
      </c>
      <c r="B87" s="71">
        <v>20</v>
      </c>
      <c r="C87" s="71">
        <v>0.18</v>
      </c>
      <c r="D87" s="71">
        <v>7</v>
      </c>
      <c r="E87" s="71">
        <v>2</v>
      </c>
      <c r="F87" s="71" t="s">
        <v>46</v>
      </c>
      <c r="G87" s="71" t="s">
        <v>46</v>
      </c>
      <c r="H87"/>
    </row>
    <row r="88" spans="1:8">
      <c r="A88" s="82" t="s">
        <v>400</v>
      </c>
      <c r="B88" s="71">
        <v>20</v>
      </c>
      <c r="C88" s="71">
        <v>0.06</v>
      </c>
      <c r="D88" s="71">
        <v>40</v>
      </c>
      <c r="E88" s="71">
        <v>2</v>
      </c>
      <c r="F88" s="71" t="s">
        <v>46</v>
      </c>
      <c r="G88" s="71" t="s">
        <v>46</v>
      </c>
      <c r="H88"/>
    </row>
    <row r="89" spans="1:8">
      <c r="A89" s="82" t="s">
        <v>401</v>
      </c>
      <c r="B89" s="71">
        <v>20</v>
      </c>
      <c r="C89" s="71">
        <v>0.06</v>
      </c>
      <c r="D89" s="71">
        <v>10</v>
      </c>
      <c r="E89" s="71">
        <v>2</v>
      </c>
      <c r="F89" s="71" t="s">
        <v>46</v>
      </c>
      <c r="G89" s="71" t="s">
        <v>46</v>
      </c>
      <c r="H89"/>
    </row>
    <row r="90" spans="1:8">
      <c r="A90" s="82" t="s">
        <v>402</v>
      </c>
      <c r="B90" s="71">
        <v>7.5</v>
      </c>
      <c r="C90" s="71">
        <v>0.06</v>
      </c>
      <c r="D90" s="71">
        <v>150</v>
      </c>
      <c r="E90" s="71">
        <v>1</v>
      </c>
      <c r="F90" s="73" t="s">
        <v>108</v>
      </c>
      <c r="G90" s="71" t="s">
        <v>46</v>
      </c>
      <c r="H90"/>
    </row>
    <row r="91" spans="1:8">
      <c r="A91" s="82" t="s">
        <v>403</v>
      </c>
      <c r="B91" s="71">
        <v>10</v>
      </c>
      <c r="C91" s="71">
        <v>0.06</v>
      </c>
      <c r="D91" s="71">
        <v>70</v>
      </c>
      <c r="E91" s="71">
        <v>1</v>
      </c>
      <c r="F91" s="73" t="s">
        <v>108</v>
      </c>
      <c r="G91" s="71" t="s">
        <v>46</v>
      </c>
      <c r="H91"/>
    </row>
    <row r="92" spans="1:8">
      <c r="A92" s="71" t="s">
        <v>45</v>
      </c>
      <c r="B92" s="71" t="s">
        <v>404</v>
      </c>
      <c r="C92" s="71" t="s">
        <v>404</v>
      </c>
      <c r="D92" s="71" t="s">
        <v>404</v>
      </c>
      <c r="E92" s="71" t="s">
        <v>404</v>
      </c>
      <c r="F92" s="71" t="s">
        <v>404</v>
      </c>
      <c r="G92" s="71" t="s">
        <v>404</v>
      </c>
      <c r="H92"/>
    </row>
    <row r="93" spans="1:8">
      <c r="A93" s="82" t="s">
        <v>405</v>
      </c>
      <c r="B93" s="71">
        <v>0</v>
      </c>
      <c r="C93" s="71">
        <v>0.48</v>
      </c>
      <c r="D93" s="71">
        <v>0</v>
      </c>
      <c r="E93" s="71">
        <v>2</v>
      </c>
      <c r="F93" s="71" t="s">
        <v>46</v>
      </c>
      <c r="G93" s="71" t="s">
        <v>46</v>
      </c>
    </row>
  </sheetData>
  <pageMargins left="0.7" right="0.7" top="0.75" bottom="0.75" header="0.3" footer="0.3"/>
  <pageSetup scale="22" fitToHeight="0" orientation="landscape" r:id="rId1"/>
  <tableParts count="5">
    <tablePart r:id="rId2"/>
    <tablePart r:id="rId3"/>
    <tablePart r:id="rId4"/>
    <tablePart r:id="rId5"/>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46"/>
    <pageSetUpPr fitToPage="1"/>
  </sheetPr>
  <dimension ref="A1:U131"/>
  <sheetViews>
    <sheetView showGridLines="0" zoomScale="115" zoomScaleNormal="115" zoomScaleSheetLayoutView="145" workbookViewId="0">
      <selection activeCell="B20" sqref="B20"/>
    </sheetView>
  </sheetViews>
  <sheetFormatPr defaultColWidth="9.109375" defaultRowHeight="10.199999999999999"/>
  <cols>
    <col min="1" max="1" width="34" style="1" bestFit="1" customWidth="1"/>
    <col min="2" max="2" width="24.109375" style="1" bestFit="1" customWidth="1"/>
    <col min="3" max="3" width="26.109375" style="1" bestFit="1" customWidth="1"/>
    <col min="4" max="4" width="21.44140625" style="1" bestFit="1" customWidth="1"/>
    <col min="5" max="5" width="22.33203125" style="1" bestFit="1" customWidth="1"/>
    <col min="6" max="6" width="24.88671875" style="1" bestFit="1" customWidth="1"/>
    <col min="7" max="7" width="17.6640625" style="1" bestFit="1" customWidth="1"/>
    <col min="8" max="8" width="16" style="1" bestFit="1" customWidth="1"/>
    <col min="9" max="9" width="15.33203125" style="1" bestFit="1" customWidth="1"/>
    <col min="10" max="10" width="6" style="1" bestFit="1" customWidth="1"/>
    <col min="11" max="12" width="9.109375" style="1"/>
    <col min="13" max="13" width="80.109375" style="1" bestFit="1" customWidth="1"/>
    <col min="14" max="14" width="16.21875" style="1" bestFit="1" customWidth="1"/>
    <col min="15" max="15" width="20.77734375" style="1" bestFit="1" customWidth="1"/>
    <col min="16" max="16" width="16.88671875" style="1" bestFit="1" customWidth="1"/>
    <col min="17" max="17" width="13.109375" style="1" bestFit="1" customWidth="1"/>
    <col min="18" max="18" width="17.33203125" style="1" bestFit="1" customWidth="1"/>
    <col min="19" max="19" width="13.44140625" style="1" bestFit="1" customWidth="1"/>
    <col min="20" max="16384" width="9.109375" style="1"/>
  </cols>
  <sheetData>
    <row r="1" spans="1:21" ht="10.8">
      <c r="A1" s="53" t="s">
        <v>406</v>
      </c>
      <c r="B1" s="140" t="s">
        <v>407</v>
      </c>
      <c r="C1" s="141" t="s">
        <v>408</v>
      </c>
      <c r="D1" s="140" t="s">
        <v>409</v>
      </c>
      <c r="E1" s="140" t="s">
        <v>410</v>
      </c>
      <c r="F1" s="140" t="s">
        <v>411</v>
      </c>
      <c r="G1" s="54" t="s">
        <v>412</v>
      </c>
      <c r="H1" s="142" t="s">
        <v>413</v>
      </c>
      <c r="I1" s="55" t="s">
        <v>414</v>
      </c>
      <c r="J1" s="141" t="s">
        <v>415</v>
      </c>
      <c r="K1" s="12"/>
      <c r="M1" s="12" t="s">
        <v>1019</v>
      </c>
      <c r="N1" s="1" t="s">
        <v>1046</v>
      </c>
      <c r="O1" s="1" t="s">
        <v>1047</v>
      </c>
      <c r="P1" s="1" t="s">
        <v>1048</v>
      </c>
      <c r="Q1" s="1" t="s">
        <v>1049</v>
      </c>
      <c r="R1" s="1" t="s">
        <v>1050</v>
      </c>
      <c r="S1" s="1" t="s">
        <v>1051</v>
      </c>
    </row>
    <row r="2" spans="1:21">
      <c r="A2" s="56" t="s">
        <v>416</v>
      </c>
      <c r="B2" s="57" t="s">
        <v>417</v>
      </c>
      <c r="C2" s="58" t="s">
        <v>418</v>
      </c>
      <c r="D2" s="59">
        <v>10</v>
      </c>
      <c r="E2" s="57" t="s">
        <v>419</v>
      </c>
      <c r="F2" s="57" t="s">
        <v>420</v>
      </c>
      <c r="G2" s="60" t="s">
        <v>418</v>
      </c>
      <c r="H2" s="143" t="s">
        <v>418</v>
      </c>
      <c r="I2" s="143" t="s">
        <v>418</v>
      </c>
      <c r="J2" s="61" t="s">
        <v>421</v>
      </c>
      <c r="K2" s="12"/>
      <c r="M2" s="12" t="s">
        <v>1020</v>
      </c>
      <c r="N2" s="1">
        <v>0.39500000000000002</v>
      </c>
      <c r="O2" s="1">
        <v>0.45300000000000001</v>
      </c>
      <c r="P2" s="1">
        <v>0.41299999999999998</v>
      </c>
      <c r="Q2" s="1">
        <v>0.23200000000000001</v>
      </c>
      <c r="R2" s="1">
        <v>0.25600000000000001</v>
      </c>
      <c r="S2" s="1">
        <v>0.23599999999999999</v>
      </c>
      <c r="U2" s="1" t="s">
        <v>108</v>
      </c>
    </row>
    <row r="3" spans="1:21">
      <c r="A3" s="144" t="s">
        <v>422</v>
      </c>
      <c r="B3" s="145" t="s">
        <v>423</v>
      </c>
      <c r="C3" s="146">
        <v>2</v>
      </c>
      <c r="D3" s="147">
        <v>12</v>
      </c>
      <c r="E3" s="145" t="s">
        <v>419</v>
      </c>
      <c r="F3" s="145" t="s">
        <v>420</v>
      </c>
      <c r="G3" s="148" t="s">
        <v>424</v>
      </c>
      <c r="H3" s="143">
        <v>70</v>
      </c>
      <c r="I3" s="149">
        <v>75</v>
      </c>
      <c r="J3" s="143" t="s">
        <v>421</v>
      </c>
      <c r="K3" s="12"/>
      <c r="M3" s="12" t="s">
        <v>1021</v>
      </c>
      <c r="N3" s="1">
        <v>0.50800000000000001</v>
      </c>
      <c r="O3" s="1">
        <v>0.54800000000000004</v>
      </c>
      <c r="P3" s="1">
        <v>0.501</v>
      </c>
      <c r="Q3" s="1">
        <v>0.34899999999999998</v>
      </c>
      <c r="R3" s="1">
        <v>0.35599999999999998</v>
      </c>
      <c r="S3" s="1">
        <v>0.32500000000000001</v>
      </c>
      <c r="U3" s="1" t="s">
        <v>46</v>
      </c>
    </row>
    <row r="4" spans="1:21">
      <c r="A4" s="144" t="s">
        <v>425</v>
      </c>
      <c r="B4" s="145" t="s">
        <v>423</v>
      </c>
      <c r="C4" s="146">
        <v>2</v>
      </c>
      <c r="D4" s="147">
        <v>12</v>
      </c>
      <c r="E4" s="145" t="s">
        <v>419</v>
      </c>
      <c r="F4" s="145" t="s">
        <v>420</v>
      </c>
      <c r="G4" s="148" t="s">
        <v>418</v>
      </c>
      <c r="H4" s="143" t="s">
        <v>418</v>
      </c>
      <c r="I4" s="143" t="s">
        <v>418</v>
      </c>
      <c r="J4" s="143"/>
      <c r="K4" s="12"/>
      <c r="M4" s="12" t="s">
        <v>1033</v>
      </c>
      <c r="N4" s="1">
        <v>0.13600000000000001</v>
      </c>
      <c r="O4" s="1">
        <v>0.114</v>
      </c>
      <c r="P4" s="1">
        <v>0.105</v>
      </c>
      <c r="Q4" s="1">
        <v>0.13900000000000001</v>
      </c>
      <c r="R4" s="1">
        <v>0.12</v>
      </c>
      <c r="S4" s="1">
        <v>0.107</v>
      </c>
    </row>
    <row r="5" spans="1:21">
      <c r="A5" s="144" t="s">
        <v>426</v>
      </c>
      <c r="B5" s="145" t="s">
        <v>427</v>
      </c>
      <c r="C5" s="146">
        <v>3</v>
      </c>
      <c r="D5" s="147">
        <v>15</v>
      </c>
      <c r="E5" s="145" t="s">
        <v>418</v>
      </c>
      <c r="F5" s="145" t="s">
        <v>418</v>
      </c>
      <c r="G5" s="148" t="s">
        <v>424</v>
      </c>
      <c r="H5" s="143">
        <v>70</v>
      </c>
      <c r="I5" s="149">
        <v>75</v>
      </c>
      <c r="J5" s="62"/>
      <c r="K5" s="12"/>
      <c r="M5" s="12" t="s">
        <v>1034</v>
      </c>
      <c r="N5" s="1">
        <v>0.22500000000000001</v>
      </c>
      <c r="O5" s="1">
        <v>0.188</v>
      </c>
      <c r="P5" s="1">
        <v>0.17599999999999999</v>
      </c>
      <c r="Q5" s="1">
        <v>0.23100000000000001</v>
      </c>
      <c r="R5" s="1">
        <v>0.19700000000000001</v>
      </c>
      <c r="S5" s="1">
        <v>0.17699999999999999</v>
      </c>
    </row>
    <row r="6" spans="1:21">
      <c r="A6" s="144" t="s">
        <v>66</v>
      </c>
      <c r="B6" s="145" t="s">
        <v>423</v>
      </c>
      <c r="C6" s="146" t="s">
        <v>418</v>
      </c>
      <c r="D6" s="147">
        <v>10</v>
      </c>
      <c r="E6" s="145" t="s">
        <v>419</v>
      </c>
      <c r="F6" s="145" t="s">
        <v>420</v>
      </c>
      <c r="G6" s="148" t="s">
        <v>418</v>
      </c>
      <c r="H6" s="143">
        <v>70</v>
      </c>
      <c r="I6" s="149">
        <v>75</v>
      </c>
      <c r="J6" s="62"/>
      <c r="K6" s="12"/>
      <c r="M6" s="12" t="s">
        <v>1035</v>
      </c>
      <c r="N6" s="1">
        <v>0.33500000000000002</v>
      </c>
      <c r="O6" s="1">
        <v>0.28000000000000003</v>
      </c>
      <c r="P6" s="1">
        <v>0.26500000000000001</v>
      </c>
      <c r="Q6" s="1">
        <v>0.34200000000000003</v>
      </c>
      <c r="R6" s="1">
        <v>0.29199999999999998</v>
      </c>
      <c r="S6" s="1">
        <v>0.26400000000000001</v>
      </c>
    </row>
    <row r="7" spans="1:21">
      <c r="A7" s="144" t="s">
        <v>428</v>
      </c>
      <c r="B7" s="145" t="s">
        <v>423</v>
      </c>
      <c r="C7" s="146" t="s">
        <v>418</v>
      </c>
      <c r="D7" s="147">
        <v>10</v>
      </c>
      <c r="E7" s="145" t="s">
        <v>419</v>
      </c>
      <c r="F7" s="145" t="s">
        <v>420</v>
      </c>
      <c r="G7" s="148" t="s">
        <v>418</v>
      </c>
      <c r="H7" s="143">
        <v>72</v>
      </c>
      <c r="I7" s="149">
        <v>78</v>
      </c>
      <c r="J7" s="150"/>
      <c r="K7" s="12"/>
      <c r="M7" s="12" t="s">
        <v>1022</v>
      </c>
      <c r="N7" s="1">
        <v>4.5999999999999999E-2</v>
      </c>
      <c r="O7" s="1">
        <v>4.8000000000000001E-2</v>
      </c>
      <c r="P7" s="1">
        <v>5.1999999999999998E-2</v>
      </c>
      <c r="Q7" s="1">
        <v>4.5999999999999999E-2</v>
      </c>
      <c r="R7" s="1">
        <v>0.05</v>
      </c>
      <c r="S7" s="1">
        <v>5.3999999999999999E-2</v>
      </c>
    </row>
    <row r="8" spans="1:21">
      <c r="A8" s="144" t="s">
        <v>429</v>
      </c>
      <c r="B8" s="145" t="s">
        <v>423</v>
      </c>
      <c r="C8" s="146" t="s">
        <v>418</v>
      </c>
      <c r="D8" s="147">
        <v>10</v>
      </c>
      <c r="E8" s="145" t="s">
        <v>419</v>
      </c>
      <c r="F8" s="145" t="s">
        <v>420</v>
      </c>
      <c r="G8" s="148" t="s">
        <v>418</v>
      </c>
      <c r="H8" s="143" t="s">
        <v>418</v>
      </c>
      <c r="I8" s="143" t="s">
        <v>418</v>
      </c>
      <c r="J8" s="62"/>
      <c r="K8" s="12"/>
      <c r="M8" s="12" t="s">
        <v>1023</v>
      </c>
      <c r="N8" s="1">
        <v>4.5999999999999999E-2</v>
      </c>
      <c r="O8" s="1">
        <v>3.7999999999999999E-2</v>
      </c>
      <c r="P8" s="1">
        <v>3.5000000000000003E-2</v>
      </c>
      <c r="Q8" s="1">
        <v>4.5999999999999999E-2</v>
      </c>
      <c r="R8" s="1">
        <v>0.04</v>
      </c>
      <c r="S8" s="1">
        <v>3.5999999999999997E-2</v>
      </c>
    </row>
    <row r="9" spans="1:21">
      <c r="A9" s="144" t="s">
        <v>68</v>
      </c>
      <c r="B9" s="145" t="s">
        <v>418</v>
      </c>
      <c r="C9" s="146">
        <v>2</v>
      </c>
      <c r="D9" s="147">
        <v>6</v>
      </c>
      <c r="E9" s="145" t="s">
        <v>418</v>
      </c>
      <c r="F9" s="145" t="s">
        <v>418</v>
      </c>
      <c r="G9" s="148" t="s">
        <v>418</v>
      </c>
      <c r="H9" s="143" t="s">
        <v>418</v>
      </c>
      <c r="I9" s="143" t="s">
        <v>418</v>
      </c>
      <c r="J9" s="144"/>
      <c r="K9" s="12"/>
      <c r="M9" s="12" t="s">
        <v>1024</v>
      </c>
      <c r="N9" s="1">
        <v>6.9000000000000006E-2</v>
      </c>
      <c r="O9" s="1">
        <v>5.7000000000000002E-2</v>
      </c>
      <c r="P9" s="1">
        <v>7.0000000000000007E-2</v>
      </c>
      <c r="Q9" s="1">
        <v>5.8000000000000003E-2</v>
      </c>
      <c r="R9" s="1">
        <v>0.06</v>
      </c>
      <c r="S9" s="1">
        <v>7.1999999999999995E-2</v>
      </c>
    </row>
    <row r="10" spans="1:21">
      <c r="A10" s="144" t="s">
        <v>430</v>
      </c>
      <c r="B10" s="145" t="s">
        <v>418</v>
      </c>
      <c r="C10" s="146">
        <v>2</v>
      </c>
      <c r="D10" s="147">
        <v>6</v>
      </c>
      <c r="E10" s="145" t="s">
        <v>418</v>
      </c>
      <c r="F10" s="145" t="s">
        <v>418</v>
      </c>
      <c r="G10" s="148" t="s">
        <v>418</v>
      </c>
      <c r="H10" s="143" t="s">
        <v>418</v>
      </c>
      <c r="I10" s="143" t="s">
        <v>418</v>
      </c>
      <c r="J10" s="144"/>
      <c r="M10" s="12" t="s">
        <v>1036</v>
      </c>
      <c r="N10" s="1">
        <v>0.13500000000000001</v>
      </c>
      <c r="O10" s="1">
        <v>0.114</v>
      </c>
      <c r="P10" s="1">
        <v>0.105</v>
      </c>
      <c r="Q10" s="1">
        <v>0.13900000000000001</v>
      </c>
      <c r="R10" s="1">
        <v>0.12</v>
      </c>
      <c r="S10" s="1">
        <v>0.107</v>
      </c>
    </row>
    <row r="11" spans="1:21">
      <c r="A11" s="144" t="s">
        <v>431</v>
      </c>
      <c r="B11" s="145" t="s">
        <v>423</v>
      </c>
      <c r="C11" s="146">
        <v>2</v>
      </c>
      <c r="D11" s="147">
        <v>12</v>
      </c>
      <c r="E11" s="145" t="s">
        <v>419</v>
      </c>
      <c r="F11" s="145" t="s">
        <v>420</v>
      </c>
      <c r="G11" s="148" t="s">
        <v>418</v>
      </c>
      <c r="H11" s="143">
        <v>68</v>
      </c>
      <c r="I11" s="149">
        <v>73</v>
      </c>
      <c r="J11" s="143" t="s">
        <v>432</v>
      </c>
      <c r="M11" s="12" t="s">
        <v>1025</v>
      </c>
      <c r="N11" s="1">
        <v>0.157</v>
      </c>
      <c r="O11" s="1">
        <v>0.13200000000000001</v>
      </c>
      <c r="P11" s="1">
        <v>0.123</v>
      </c>
      <c r="Q11" s="1">
        <v>0.16300000000000001</v>
      </c>
      <c r="R11" s="1">
        <v>0.13900000000000001</v>
      </c>
      <c r="S11" s="1">
        <v>0.124</v>
      </c>
    </row>
    <row r="12" spans="1:21">
      <c r="A12" s="144" t="s">
        <v>433</v>
      </c>
      <c r="B12" s="145" t="s">
        <v>427</v>
      </c>
      <c r="C12" s="146">
        <v>3</v>
      </c>
      <c r="D12" s="147">
        <v>15</v>
      </c>
      <c r="E12" s="145" t="s">
        <v>418</v>
      </c>
      <c r="F12" s="145" t="s">
        <v>420</v>
      </c>
      <c r="G12" s="148" t="s">
        <v>424</v>
      </c>
      <c r="H12" s="143">
        <v>70</v>
      </c>
      <c r="I12" s="149">
        <v>75</v>
      </c>
      <c r="J12" s="144"/>
      <c r="M12" s="12" t="s">
        <v>1026</v>
      </c>
      <c r="N12" s="1">
        <v>4.4999999999999998E-2</v>
      </c>
      <c r="O12" s="1">
        <v>3.7999999999999999E-2</v>
      </c>
      <c r="P12" s="1">
        <v>3.5000000000000003E-2</v>
      </c>
      <c r="Q12" s="1">
        <v>4.5999999999999999E-2</v>
      </c>
      <c r="R12" s="1">
        <v>0.04</v>
      </c>
      <c r="S12" s="1">
        <v>3.5999999999999997E-2</v>
      </c>
    </row>
    <row r="13" spans="1:21" ht="20.399999999999999">
      <c r="A13" s="144" t="s">
        <v>434</v>
      </c>
      <c r="B13" s="145" t="s">
        <v>427</v>
      </c>
      <c r="C13" s="146" t="s">
        <v>418</v>
      </c>
      <c r="D13" s="147">
        <v>2</v>
      </c>
      <c r="E13" s="145" t="s">
        <v>418</v>
      </c>
      <c r="F13" s="145" t="s">
        <v>418</v>
      </c>
      <c r="G13" s="148" t="s">
        <v>418</v>
      </c>
      <c r="H13" s="143">
        <v>72</v>
      </c>
      <c r="I13" s="149">
        <v>78</v>
      </c>
      <c r="J13" s="144"/>
      <c r="M13" s="362" t="s">
        <v>1052</v>
      </c>
      <c r="N13" s="1">
        <v>0.224</v>
      </c>
      <c r="O13" s="1">
        <v>0.188</v>
      </c>
      <c r="P13" s="1">
        <v>0.17599999999999999</v>
      </c>
      <c r="Q13" s="1">
        <v>0.23100000000000001</v>
      </c>
      <c r="R13" s="1">
        <v>0.19700000000000001</v>
      </c>
      <c r="S13" s="1">
        <v>0.17699999999999999</v>
      </c>
    </row>
    <row r="14" spans="1:21">
      <c r="A14" s="144" t="s">
        <v>435</v>
      </c>
      <c r="B14" s="145" t="s">
        <v>427</v>
      </c>
      <c r="C14" s="146">
        <v>2</v>
      </c>
      <c r="D14" s="147">
        <v>4</v>
      </c>
      <c r="E14" s="145" t="s">
        <v>418</v>
      </c>
      <c r="F14" s="145" t="s">
        <v>420</v>
      </c>
      <c r="G14" s="148" t="s">
        <v>424</v>
      </c>
      <c r="H14" s="143">
        <v>72</v>
      </c>
      <c r="I14" s="149">
        <v>78</v>
      </c>
      <c r="J14" s="144"/>
      <c r="M14" s="12" t="s">
        <v>1037</v>
      </c>
      <c r="N14" s="1">
        <v>0</v>
      </c>
      <c r="O14" s="1">
        <v>0</v>
      </c>
      <c r="P14" s="1">
        <v>0</v>
      </c>
      <c r="Q14" s="1">
        <v>7.0000000000000007E-2</v>
      </c>
      <c r="R14" s="1">
        <v>0.1</v>
      </c>
      <c r="S14" s="1">
        <v>0.107</v>
      </c>
    </row>
    <row r="15" spans="1:21">
      <c r="A15" s="144" t="s">
        <v>436</v>
      </c>
      <c r="B15" s="145" t="s">
        <v>427</v>
      </c>
      <c r="C15" s="146">
        <v>2</v>
      </c>
      <c r="D15" s="147">
        <v>4</v>
      </c>
      <c r="E15" s="145" t="s">
        <v>418</v>
      </c>
      <c r="F15" s="145" t="s">
        <v>418</v>
      </c>
      <c r="G15" s="148" t="s">
        <v>418</v>
      </c>
      <c r="H15" s="143" t="s">
        <v>418</v>
      </c>
      <c r="I15" s="143" t="s">
        <v>418</v>
      </c>
      <c r="J15" s="144"/>
      <c r="M15" s="12" t="s">
        <v>1038</v>
      </c>
      <c r="N15" s="1">
        <v>0.13500000000000001</v>
      </c>
      <c r="O15" s="1">
        <v>0.114</v>
      </c>
      <c r="P15" s="1">
        <v>0.105</v>
      </c>
      <c r="Q15" s="1">
        <v>0.13900000000000001</v>
      </c>
      <c r="R15" s="1">
        <v>0.12</v>
      </c>
      <c r="S15" s="1">
        <v>0.107</v>
      </c>
    </row>
    <row r="16" spans="1:21">
      <c r="A16" s="144" t="s">
        <v>437</v>
      </c>
      <c r="B16" s="145" t="s">
        <v>418</v>
      </c>
      <c r="C16" s="146">
        <v>2</v>
      </c>
      <c r="D16" s="147">
        <v>6</v>
      </c>
      <c r="E16" s="145" t="s">
        <v>418</v>
      </c>
      <c r="F16" s="145" t="s">
        <v>420</v>
      </c>
      <c r="G16" s="148" t="s">
        <v>438</v>
      </c>
      <c r="H16" s="143">
        <v>70</v>
      </c>
      <c r="I16" s="149">
        <v>75</v>
      </c>
      <c r="J16" s="144"/>
      <c r="M16" s="12" t="s">
        <v>1039</v>
      </c>
      <c r="N16" s="1">
        <v>0.16</v>
      </c>
      <c r="O16" s="1">
        <v>0.13400000000000001</v>
      </c>
      <c r="P16" s="1">
        <v>0.124</v>
      </c>
      <c r="Q16" s="1">
        <v>0.16500000000000001</v>
      </c>
      <c r="R16" s="1">
        <v>0.14099999999999999</v>
      </c>
      <c r="S16" s="1">
        <v>0.126</v>
      </c>
    </row>
    <row r="17" spans="1:19">
      <c r="A17" s="144" t="s">
        <v>439</v>
      </c>
      <c r="B17" s="145" t="s">
        <v>418</v>
      </c>
      <c r="C17" s="146">
        <v>2</v>
      </c>
      <c r="D17" s="147">
        <v>6</v>
      </c>
      <c r="E17" s="145" t="s">
        <v>418</v>
      </c>
      <c r="F17" s="145" t="s">
        <v>418</v>
      </c>
      <c r="G17" s="148" t="s">
        <v>424</v>
      </c>
      <c r="H17" s="143" t="s">
        <v>418</v>
      </c>
      <c r="I17" s="143" t="s">
        <v>418</v>
      </c>
      <c r="J17" s="143"/>
      <c r="M17" s="12" t="s">
        <v>1040</v>
      </c>
      <c r="N17" s="1">
        <v>0.184</v>
      </c>
      <c r="O17" s="1">
        <v>0.155</v>
      </c>
      <c r="P17" s="1">
        <v>0.14399999999999999</v>
      </c>
      <c r="Q17" s="1">
        <v>0.19</v>
      </c>
      <c r="R17" s="1">
        <v>0.16300000000000001</v>
      </c>
      <c r="S17" s="1">
        <v>0.14599999999999999</v>
      </c>
    </row>
    <row r="18" spans="1:19">
      <c r="A18" s="144" t="s">
        <v>440</v>
      </c>
      <c r="B18" s="145" t="s">
        <v>423</v>
      </c>
      <c r="C18" s="146">
        <v>2</v>
      </c>
      <c r="D18" s="147">
        <v>10</v>
      </c>
      <c r="E18" s="145" t="s">
        <v>419</v>
      </c>
      <c r="F18" s="145" t="s">
        <v>420</v>
      </c>
      <c r="G18" s="148" t="s">
        <v>418</v>
      </c>
      <c r="H18" s="143" t="s">
        <v>418</v>
      </c>
      <c r="I18" s="143" t="s">
        <v>418</v>
      </c>
      <c r="J18" s="143" t="s">
        <v>441</v>
      </c>
      <c r="M18" s="12" t="s">
        <v>1041</v>
      </c>
      <c r="N18" s="1">
        <v>0.20799999999999999</v>
      </c>
      <c r="O18" s="1">
        <v>0.17499999999999999</v>
      </c>
      <c r="P18" s="1">
        <v>0.16300000000000001</v>
      </c>
      <c r="Q18" s="1">
        <v>0.215</v>
      </c>
      <c r="R18" s="1">
        <v>0.184</v>
      </c>
      <c r="S18" s="1">
        <v>0.16500000000000001</v>
      </c>
    </row>
    <row r="19" spans="1:19">
      <c r="A19" s="144" t="s">
        <v>442</v>
      </c>
      <c r="B19" s="145" t="s">
        <v>427</v>
      </c>
      <c r="C19" s="146">
        <v>4</v>
      </c>
      <c r="D19" s="147">
        <v>20</v>
      </c>
      <c r="E19" s="145" t="s">
        <v>418</v>
      </c>
      <c r="F19" s="145" t="s">
        <v>420</v>
      </c>
      <c r="G19" s="148" t="s">
        <v>443</v>
      </c>
      <c r="H19" s="143">
        <v>68</v>
      </c>
      <c r="I19" s="149">
        <v>75</v>
      </c>
      <c r="J19" s="143" t="s">
        <v>2711</v>
      </c>
      <c r="M19" s="12" t="s">
        <v>1042</v>
      </c>
      <c r="N19" s="1">
        <v>0.23200000000000001</v>
      </c>
      <c r="O19" s="1">
        <v>0.19600000000000001</v>
      </c>
      <c r="P19" s="1">
        <v>0.183</v>
      </c>
      <c r="Q19" s="1">
        <v>0.24</v>
      </c>
      <c r="R19" s="1">
        <v>0.20499999999999999</v>
      </c>
      <c r="S19" s="1">
        <v>0.184</v>
      </c>
    </row>
    <row r="20" spans="1:19">
      <c r="A20" s="144" t="s">
        <v>444</v>
      </c>
      <c r="B20" s="145" t="s">
        <v>418</v>
      </c>
      <c r="C20" s="146">
        <v>2</v>
      </c>
      <c r="D20" s="147">
        <v>6</v>
      </c>
      <c r="E20" s="145" t="s">
        <v>418</v>
      </c>
      <c r="F20" s="145" t="s">
        <v>418</v>
      </c>
      <c r="G20" s="148" t="s">
        <v>418</v>
      </c>
      <c r="H20" s="143">
        <v>72</v>
      </c>
      <c r="I20" s="149">
        <v>78</v>
      </c>
      <c r="J20" s="143"/>
      <c r="M20" s="12" t="s">
        <v>1043</v>
      </c>
      <c r="N20" s="1">
        <v>0.25700000000000001</v>
      </c>
      <c r="O20" s="1">
        <v>0.216</v>
      </c>
      <c r="P20" s="1">
        <v>0.20200000000000001</v>
      </c>
      <c r="Q20" s="1">
        <v>0.26400000000000001</v>
      </c>
      <c r="R20" s="1">
        <v>0.22600000000000001</v>
      </c>
      <c r="S20" s="1">
        <v>0.20300000000000001</v>
      </c>
    </row>
    <row r="21" spans="1:19">
      <c r="A21" s="144" t="s">
        <v>445</v>
      </c>
      <c r="B21" s="145" t="s">
        <v>423</v>
      </c>
      <c r="C21" s="146" t="s">
        <v>418</v>
      </c>
      <c r="D21" s="147">
        <v>10</v>
      </c>
      <c r="E21" s="145" t="s">
        <v>419</v>
      </c>
      <c r="F21" s="145" t="s">
        <v>420</v>
      </c>
      <c r="G21" s="148" t="s">
        <v>418</v>
      </c>
      <c r="H21" s="143" t="s">
        <v>418</v>
      </c>
      <c r="I21" s="143" t="s">
        <v>418</v>
      </c>
      <c r="J21" s="143"/>
      <c r="M21" s="12" t="s">
        <v>1044</v>
      </c>
      <c r="N21" s="1">
        <v>0.28100000000000003</v>
      </c>
      <c r="O21" s="1">
        <v>0.23599999999999999</v>
      </c>
      <c r="P21" s="1">
        <v>0.222</v>
      </c>
      <c r="Q21" s="1">
        <v>0.28899999999999998</v>
      </c>
      <c r="R21" s="1">
        <v>0.247</v>
      </c>
      <c r="S21" s="1">
        <v>0.222</v>
      </c>
    </row>
    <row r="22" spans="1:19">
      <c r="A22" s="144" t="s">
        <v>446</v>
      </c>
      <c r="B22" s="145" t="s">
        <v>418</v>
      </c>
      <c r="C22" s="146" t="s">
        <v>418</v>
      </c>
      <c r="D22" s="147">
        <v>2</v>
      </c>
      <c r="E22" s="145" t="s">
        <v>418</v>
      </c>
      <c r="F22" s="145" t="s">
        <v>420</v>
      </c>
      <c r="G22" s="148" t="s">
        <v>418</v>
      </c>
      <c r="H22" s="143">
        <v>72</v>
      </c>
      <c r="I22" s="149">
        <v>78</v>
      </c>
      <c r="J22" s="143"/>
      <c r="M22" s="12" t="s">
        <v>1027</v>
      </c>
      <c r="N22" s="1">
        <v>0.13500000000000001</v>
      </c>
      <c r="O22" s="1">
        <v>0.114</v>
      </c>
      <c r="P22" s="1">
        <v>0.105</v>
      </c>
      <c r="Q22" s="1">
        <v>0.13900000000000001</v>
      </c>
      <c r="R22" s="1">
        <v>0.12</v>
      </c>
      <c r="S22" s="1">
        <v>0.107</v>
      </c>
    </row>
    <row r="23" spans="1:19">
      <c r="A23" s="144" t="s">
        <v>447</v>
      </c>
      <c r="B23" s="145" t="s">
        <v>448</v>
      </c>
      <c r="C23" s="146">
        <v>3</v>
      </c>
      <c r="D23" s="147">
        <v>15</v>
      </c>
      <c r="E23" s="145" t="s">
        <v>418</v>
      </c>
      <c r="F23" s="145" t="s">
        <v>418</v>
      </c>
      <c r="G23" s="148" t="s">
        <v>418</v>
      </c>
      <c r="H23" s="143" t="s">
        <v>418</v>
      </c>
      <c r="I23" s="143" t="s">
        <v>418</v>
      </c>
      <c r="J23" s="143"/>
      <c r="M23" s="12" t="s">
        <v>1045</v>
      </c>
      <c r="N23" s="1">
        <v>0.224</v>
      </c>
      <c r="O23" s="1">
        <v>0.188</v>
      </c>
      <c r="P23" s="1">
        <v>0.17599999999999999</v>
      </c>
      <c r="Q23" s="1">
        <v>0.23100000000000001</v>
      </c>
      <c r="R23" s="1">
        <v>0.19700000000000001</v>
      </c>
      <c r="S23" s="1">
        <v>0.17699999999999999</v>
      </c>
    </row>
    <row r="24" spans="1:19">
      <c r="A24" s="144" t="s">
        <v>449</v>
      </c>
      <c r="B24" s="145" t="s">
        <v>418</v>
      </c>
      <c r="C24" s="146">
        <v>2</v>
      </c>
      <c r="D24" s="147">
        <v>6</v>
      </c>
      <c r="E24" s="145" t="s">
        <v>418</v>
      </c>
      <c r="F24" s="145" t="s">
        <v>418</v>
      </c>
      <c r="G24" s="148" t="s">
        <v>424</v>
      </c>
      <c r="H24" s="143">
        <v>70</v>
      </c>
      <c r="I24" s="149">
        <v>75</v>
      </c>
      <c r="J24" s="143" t="s">
        <v>448</v>
      </c>
      <c r="M24" s="12" t="s">
        <v>1028</v>
      </c>
      <c r="N24" s="1">
        <v>4.4999999999999998E-2</v>
      </c>
      <c r="O24" s="1">
        <v>3.7999999999999999E-2</v>
      </c>
      <c r="P24" s="1">
        <v>3.5000000000000003E-2</v>
      </c>
      <c r="Q24" s="1">
        <v>4.5999999999999999E-2</v>
      </c>
      <c r="R24" s="1">
        <v>0.04</v>
      </c>
      <c r="S24" s="1">
        <v>3.5999999999999997E-2</v>
      </c>
    </row>
    <row r="25" spans="1:19">
      <c r="A25" s="144" t="s">
        <v>450</v>
      </c>
      <c r="B25" s="145" t="s">
        <v>423</v>
      </c>
      <c r="C25" s="146">
        <v>2</v>
      </c>
      <c r="D25" s="147">
        <v>10</v>
      </c>
      <c r="E25" s="145" t="s">
        <v>419</v>
      </c>
      <c r="F25" s="145" t="s">
        <v>420</v>
      </c>
      <c r="G25" s="148" t="s">
        <v>418</v>
      </c>
      <c r="H25" s="143" t="s">
        <v>418</v>
      </c>
      <c r="I25" s="143" t="s">
        <v>418</v>
      </c>
      <c r="J25" s="143"/>
      <c r="M25" s="12" t="s">
        <v>1029</v>
      </c>
      <c r="N25" s="1">
        <v>4.4999999999999998E-2</v>
      </c>
      <c r="O25" s="1">
        <v>3.7999999999999999E-2</v>
      </c>
      <c r="P25" s="1">
        <v>3.5000000000000003E-2</v>
      </c>
      <c r="Q25" s="1">
        <v>4.5999999999999999E-2</v>
      </c>
      <c r="R25" s="1">
        <v>0.04</v>
      </c>
      <c r="S25" s="1">
        <v>3.5999999999999997E-2</v>
      </c>
    </row>
    <row r="26" spans="1:19">
      <c r="A26" s="144" t="s">
        <v>451</v>
      </c>
      <c r="B26" s="145" t="s">
        <v>423</v>
      </c>
      <c r="C26" s="146">
        <v>2</v>
      </c>
      <c r="D26" s="147">
        <v>12</v>
      </c>
      <c r="E26" s="145" t="s">
        <v>419</v>
      </c>
      <c r="F26" s="145" t="s">
        <v>420</v>
      </c>
      <c r="G26" s="148" t="s">
        <v>418</v>
      </c>
      <c r="H26" s="143" t="s">
        <v>418</v>
      </c>
      <c r="I26" s="143" t="s">
        <v>418</v>
      </c>
      <c r="J26" s="143"/>
      <c r="M26" s="12" t="s">
        <v>1030</v>
      </c>
      <c r="N26" s="1">
        <v>3.4000000000000002E-2</v>
      </c>
      <c r="O26" s="1">
        <v>2.9000000000000001E-2</v>
      </c>
      <c r="P26" s="1">
        <v>2.5999999999999999E-2</v>
      </c>
      <c r="Q26" s="1">
        <v>3.5000000000000003E-2</v>
      </c>
      <c r="R26" s="1">
        <v>0.03</v>
      </c>
      <c r="S26" s="1">
        <v>2.7E-2</v>
      </c>
    </row>
    <row r="27" spans="1:19">
      <c r="A27" s="144" t="s">
        <v>452</v>
      </c>
      <c r="B27" s="145" t="s">
        <v>423</v>
      </c>
      <c r="C27" s="146">
        <v>2</v>
      </c>
      <c r="D27" s="147">
        <v>12</v>
      </c>
      <c r="E27" s="145" t="s">
        <v>419</v>
      </c>
      <c r="F27" s="145" t="s">
        <v>418</v>
      </c>
      <c r="G27" s="148" t="s">
        <v>453</v>
      </c>
      <c r="H27" s="143">
        <v>70</v>
      </c>
      <c r="I27" s="149">
        <v>75</v>
      </c>
      <c r="J27" s="143" t="s">
        <v>454</v>
      </c>
      <c r="M27" s="12" t="s">
        <v>1031</v>
      </c>
      <c r="N27" s="1">
        <v>-0.1</v>
      </c>
      <c r="O27" s="1">
        <v>-0.1</v>
      </c>
      <c r="P27" s="1">
        <v>-0.1</v>
      </c>
      <c r="Q27" s="1">
        <v>-0.1</v>
      </c>
      <c r="R27" s="1">
        <v>-0.1</v>
      </c>
      <c r="S27" s="1">
        <v>-0.1</v>
      </c>
    </row>
    <row r="28" spans="1:19">
      <c r="A28" s="144" t="s">
        <v>455</v>
      </c>
      <c r="B28" s="145" t="s">
        <v>418</v>
      </c>
      <c r="C28" s="146">
        <v>2</v>
      </c>
      <c r="D28" s="147">
        <v>6</v>
      </c>
      <c r="E28" s="145" t="s">
        <v>418</v>
      </c>
      <c r="F28" s="145" t="s">
        <v>418</v>
      </c>
      <c r="G28" s="148" t="s">
        <v>424</v>
      </c>
      <c r="H28" s="143">
        <v>70</v>
      </c>
      <c r="I28" s="149">
        <v>75</v>
      </c>
      <c r="J28" s="143"/>
      <c r="M28" s="12" t="s">
        <v>1032</v>
      </c>
      <c r="N28" s="1">
        <v>0</v>
      </c>
      <c r="O28" s="1">
        <v>0</v>
      </c>
      <c r="P28" s="1">
        <v>0</v>
      </c>
      <c r="Q28" s="1">
        <v>7.0000000000000007E-2</v>
      </c>
      <c r="R28" s="1">
        <v>0.1</v>
      </c>
      <c r="S28" s="1">
        <v>8.8999999999999996E-2</v>
      </c>
    </row>
    <row r="29" spans="1:19">
      <c r="A29" s="144" t="s">
        <v>70</v>
      </c>
      <c r="B29" s="145" t="s">
        <v>418</v>
      </c>
      <c r="C29" s="146">
        <v>2</v>
      </c>
      <c r="D29" s="147">
        <v>6</v>
      </c>
      <c r="E29" s="145" t="s">
        <v>418</v>
      </c>
      <c r="F29" s="145" t="s">
        <v>418</v>
      </c>
      <c r="G29" s="148" t="s">
        <v>418</v>
      </c>
      <c r="H29" s="143" t="s">
        <v>418</v>
      </c>
      <c r="I29" s="143" t="s">
        <v>418</v>
      </c>
      <c r="J29" s="143"/>
      <c r="M29" s="12"/>
    </row>
    <row r="30" spans="1:19">
      <c r="A30" s="144" t="s">
        <v>456</v>
      </c>
      <c r="B30" s="145" t="s">
        <v>423</v>
      </c>
      <c r="C30" s="146">
        <v>2</v>
      </c>
      <c r="D30" s="147">
        <v>6</v>
      </c>
      <c r="E30" s="145" t="s">
        <v>419</v>
      </c>
      <c r="F30" s="145" t="s">
        <v>420</v>
      </c>
      <c r="G30" s="148" t="s">
        <v>418</v>
      </c>
      <c r="H30" s="143" t="s">
        <v>418</v>
      </c>
      <c r="I30" s="143" t="s">
        <v>418</v>
      </c>
      <c r="J30" s="143"/>
      <c r="M30" s="12"/>
    </row>
    <row r="31" spans="1:19">
      <c r="A31" s="144" t="s">
        <v>457</v>
      </c>
      <c r="B31" s="145" t="s">
        <v>418</v>
      </c>
      <c r="C31" s="146">
        <v>2</v>
      </c>
      <c r="D31" s="147">
        <v>10</v>
      </c>
      <c r="E31" s="145" t="s">
        <v>418</v>
      </c>
      <c r="F31" s="145" t="s">
        <v>420</v>
      </c>
      <c r="G31" s="148" t="s">
        <v>418</v>
      </c>
      <c r="H31" s="143">
        <v>72</v>
      </c>
      <c r="I31" s="149">
        <v>78</v>
      </c>
      <c r="J31" s="143" t="s">
        <v>458</v>
      </c>
      <c r="M31" s="12"/>
    </row>
    <row r="32" spans="1:19">
      <c r="A32" s="144" t="s">
        <v>459</v>
      </c>
      <c r="B32" s="145" t="s">
        <v>418</v>
      </c>
      <c r="C32" s="146">
        <v>2</v>
      </c>
      <c r="D32" s="147">
        <v>6</v>
      </c>
      <c r="E32" s="145" t="s">
        <v>418</v>
      </c>
      <c r="F32" s="145" t="s">
        <v>420</v>
      </c>
      <c r="G32" s="148" t="s">
        <v>443</v>
      </c>
      <c r="H32" s="143">
        <v>68</v>
      </c>
      <c r="I32" s="149">
        <v>73</v>
      </c>
      <c r="J32" s="143" t="s">
        <v>460</v>
      </c>
      <c r="M32" s="12"/>
    </row>
    <row r="33" spans="1:13">
      <c r="A33" s="144" t="s">
        <v>461</v>
      </c>
      <c r="B33" s="145" t="s">
        <v>423</v>
      </c>
      <c r="C33" s="146">
        <v>2</v>
      </c>
      <c r="D33" s="147">
        <v>10</v>
      </c>
      <c r="E33" s="145" t="s">
        <v>419</v>
      </c>
      <c r="F33" s="145" t="s">
        <v>420</v>
      </c>
      <c r="G33" s="148" t="s">
        <v>418</v>
      </c>
      <c r="H33" s="143" t="s">
        <v>418</v>
      </c>
      <c r="I33" s="143" t="s">
        <v>418</v>
      </c>
      <c r="J33" s="143"/>
      <c r="M33" s="12"/>
    </row>
    <row r="34" spans="1:13">
      <c r="A34" s="144" t="s">
        <v>462</v>
      </c>
      <c r="B34" s="145" t="s">
        <v>423</v>
      </c>
      <c r="C34" s="146">
        <v>2</v>
      </c>
      <c r="D34" s="147">
        <v>6</v>
      </c>
      <c r="E34" s="145" t="s">
        <v>418</v>
      </c>
      <c r="F34" s="145" t="s">
        <v>418</v>
      </c>
      <c r="G34" s="148" t="s">
        <v>418</v>
      </c>
      <c r="H34" s="143">
        <v>72</v>
      </c>
      <c r="I34" s="149">
        <v>80</v>
      </c>
      <c r="J34" s="143"/>
      <c r="M34" s="12"/>
    </row>
    <row r="35" spans="1:13">
      <c r="A35" s="144" t="s">
        <v>463</v>
      </c>
      <c r="B35" s="145" t="s">
        <v>427</v>
      </c>
      <c r="C35" s="146">
        <v>2</v>
      </c>
      <c r="D35" s="147">
        <v>6</v>
      </c>
      <c r="E35" s="145" t="s">
        <v>418</v>
      </c>
      <c r="F35" s="145" t="s">
        <v>418</v>
      </c>
      <c r="G35" s="148" t="s">
        <v>418</v>
      </c>
      <c r="H35" s="143" t="s">
        <v>418</v>
      </c>
      <c r="I35" s="143" t="s">
        <v>418</v>
      </c>
      <c r="J35" s="143"/>
      <c r="M35" s="12"/>
    </row>
    <row r="36" spans="1:13">
      <c r="A36" s="144" t="s">
        <v>464</v>
      </c>
      <c r="B36" s="145" t="s">
        <v>418</v>
      </c>
      <c r="C36" s="146">
        <v>2</v>
      </c>
      <c r="D36" s="147">
        <v>6</v>
      </c>
      <c r="E36" s="145" t="s">
        <v>418</v>
      </c>
      <c r="F36" s="145" t="s">
        <v>418</v>
      </c>
      <c r="G36" s="148" t="s">
        <v>424</v>
      </c>
      <c r="H36" s="143">
        <v>70</v>
      </c>
      <c r="I36" s="149">
        <v>75</v>
      </c>
      <c r="J36" s="143" t="s">
        <v>465</v>
      </c>
      <c r="M36" s="12"/>
    </row>
    <row r="37" spans="1:13">
      <c r="A37" s="144" t="s">
        <v>466</v>
      </c>
      <c r="B37" s="145" t="s">
        <v>427</v>
      </c>
      <c r="C37" s="146">
        <v>5</v>
      </c>
      <c r="D37" s="147">
        <v>15</v>
      </c>
      <c r="E37" s="145" t="s">
        <v>418</v>
      </c>
      <c r="F37" s="145" t="s">
        <v>418</v>
      </c>
      <c r="G37" s="148" t="s">
        <v>418</v>
      </c>
      <c r="H37" s="143" t="s">
        <v>418</v>
      </c>
      <c r="I37" s="143" t="s">
        <v>418</v>
      </c>
      <c r="J37" s="143"/>
      <c r="M37" s="12"/>
    </row>
    <row r="38" spans="1:13">
      <c r="A38" s="144" t="s">
        <v>467</v>
      </c>
      <c r="B38" s="145" t="s">
        <v>427</v>
      </c>
      <c r="C38" s="146">
        <v>2</v>
      </c>
      <c r="D38" s="147">
        <v>6</v>
      </c>
      <c r="E38" s="145" t="s">
        <v>418</v>
      </c>
      <c r="F38" s="145" t="s">
        <v>418</v>
      </c>
      <c r="G38" s="148" t="s">
        <v>418</v>
      </c>
      <c r="H38" s="143" t="s">
        <v>418</v>
      </c>
      <c r="I38" s="143" t="s">
        <v>418</v>
      </c>
      <c r="J38" s="143"/>
      <c r="M38" s="12"/>
    </row>
    <row r="39" spans="1:13">
      <c r="A39" s="144" t="s">
        <v>468</v>
      </c>
      <c r="B39" s="145" t="s">
        <v>423</v>
      </c>
      <c r="C39" s="146" t="s">
        <v>418</v>
      </c>
      <c r="D39" s="147">
        <v>10</v>
      </c>
      <c r="E39" s="145" t="s">
        <v>419</v>
      </c>
      <c r="F39" s="145" t="s">
        <v>420</v>
      </c>
      <c r="G39" s="148" t="s">
        <v>418</v>
      </c>
      <c r="H39" s="143" t="s">
        <v>418</v>
      </c>
      <c r="I39" s="143" t="s">
        <v>418</v>
      </c>
      <c r="J39" s="143"/>
      <c r="M39" s="12"/>
    </row>
    <row r="40" spans="1:13">
      <c r="A40" s="144" t="s">
        <v>469</v>
      </c>
      <c r="B40" s="145" t="s">
        <v>418</v>
      </c>
      <c r="C40" s="146">
        <v>2</v>
      </c>
      <c r="D40" s="147">
        <v>6</v>
      </c>
      <c r="E40" s="145" t="s">
        <v>418</v>
      </c>
      <c r="F40" s="145" t="s">
        <v>418</v>
      </c>
      <c r="G40" s="148" t="s">
        <v>424</v>
      </c>
      <c r="H40" s="143">
        <v>70</v>
      </c>
      <c r="I40" s="149">
        <v>75</v>
      </c>
      <c r="J40" s="143" t="s">
        <v>465</v>
      </c>
      <c r="M40" s="12"/>
    </row>
    <row r="41" spans="1:13">
      <c r="A41" s="144" t="s">
        <v>470</v>
      </c>
      <c r="B41" s="145" t="s">
        <v>418</v>
      </c>
      <c r="C41" s="146">
        <v>2</v>
      </c>
      <c r="D41" s="147">
        <v>6</v>
      </c>
      <c r="E41" s="145" t="s">
        <v>418</v>
      </c>
      <c r="F41" s="145" t="s">
        <v>418</v>
      </c>
      <c r="G41" s="148" t="s">
        <v>424</v>
      </c>
      <c r="H41" s="143">
        <v>70</v>
      </c>
      <c r="I41" s="149">
        <v>75</v>
      </c>
      <c r="J41" s="143" t="s">
        <v>465</v>
      </c>
      <c r="M41" s="12"/>
    </row>
    <row r="42" spans="1:13">
      <c r="A42" s="144" t="s">
        <v>471</v>
      </c>
      <c r="B42" s="145" t="s">
        <v>423</v>
      </c>
      <c r="C42" s="146">
        <v>2</v>
      </c>
      <c r="D42" s="147">
        <v>6</v>
      </c>
      <c r="E42" s="145" t="s">
        <v>419</v>
      </c>
      <c r="F42" s="145" t="s">
        <v>418</v>
      </c>
      <c r="G42" s="148" t="s">
        <v>418</v>
      </c>
      <c r="H42" s="143">
        <v>70</v>
      </c>
      <c r="I42" s="149">
        <v>75</v>
      </c>
      <c r="J42" s="143" t="s">
        <v>472</v>
      </c>
      <c r="M42" s="12"/>
    </row>
    <row r="43" spans="1:13">
      <c r="A43" s="144" t="s">
        <v>473</v>
      </c>
      <c r="B43" s="145" t="s">
        <v>423</v>
      </c>
      <c r="C43" s="146">
        <v>2</v>
      </c>
      <c r="D43" s="147">
        <v>6</v>
      </c>
      <c r="E43" s="145" t="s">
        <v>419</v>
      </c>
      <c r="F43" s="145" t="s">
        <v>418</v>
      </c>
      <c r="G43" s="148" t="s">
        <v>418</v>
      </c>
      <c r="H43" s="143">
        <v>70</v>
      </c>
      <c r="I43" s="149">
        <v>75</v>
      </c>
      <c r="J43" s="143" t="s">
        <v>472</v>
      </c>
      <c r="M43" s="12"/>
    </row>
    <row r="44" spans="1:13">
      <c r="A44" s="144" t="s">
        <v>474</v>
      </c>
      <c r="B44" s="145" t="s">
        <v>423</v>
      </c>
      <c r="C44" s="146">
        <v>2</v>
      </c>
      <c r="D44" s="147">
        <v>6</v>
      </c>
      <c r="E44" s="145" t="s">
        <v>419</v>
      </c>
      <c r="F44" s="145" t="s">
        <v>418</v>
      </c>
      <c r="G44" s="148" t="s">
        <v>418</v>
      </c>
      <c r="H44" s="143">
        <v>70</v>
      </c>
      <c r="I44" s="149">
        <v>75</v>
      </c>
      <c r="J44" s="143" t="s">
        <v>472</v>
      </c>
      <c r="M44" s="12"/>
    </row>
    <row r="45" spans="1:13">
      <c r="A45" s="144" t="s">
        <v>475</v>
      </c>
      <c r="B45" s="145" t="s">
        <v>423</v>
      </c>
      <c r="C45" s="146">
        <v>2</v>
      </c>
      <c r="D45" s="147">
        <v>6</v>
      </c>
      <c r="E45" s="145" t="s">
        <v>418</v>
      </c>
      <c r="F45" s="145" t="s">
        <v>418</v>
      </c>
      <c r="G45" s="148" t="s">
        <v>418</v>
      </c>
      <c r="H45" s="143">
        <v>70</v>
      </c>
      <c r="I45" s="149">
        <v>75</v>
      </c>
      <c r="J45" s="143" t="s">
        <v>472</v>
      </c>
      <c r="M45" s="12"/>
    </row>
    <row r="46" spans="1:13">
      <c r="A46" s="144" t="s">
        <v>476</v>
      </c>
      <c r="B46" s="145" t="s">
        <v>423</v>
      </c>
      <c r="C46" s="146">
        <v>2</v>
      </c>
      <c r="D46" s="147">
        <v>10</v>
      </c>
      <c r="E46" s="145" t="s">
        <v>419</v>
      </c>
      <c r="F46" s="145" t="s">
        <v>418</v>
      </c>
      <c r="G46" s="148" t="s">
        <v>418</v>
      </c>
      <c r="H46" s="143" t="s">
        <v>418</v>
      </c>
      <c r="I46" s="143" t="s">
        <v>418</v>
      </c>
      <c r="J46" s="143" t="s">
        <v>472</v>
      </c>
      <c r="M46" s="12"/>
    </row>
    <row r="47" spans="1:13">
      <c r="A47" s="144" t="s">
        <v>477</v>
      </c>
      <c r="B47" s="145" t="s">
        <v>423</v>
      </c>
      <c r="C47" s="146">
        <v>2</v>
      </c>
      <c r="D47" s="147">
        <v>6</v>
      </c>
      <c r="E47" s="145" t="s">
        <v>419</v>
      </c>
      <c r="F47" s="145" t="s">
        <v>418</v>
      </c>
      <c r="G47" s="148" t="s">
        <v>418</v>
      </c>
      <c r="H47" s="143">
        <v>70</v>
      </c>
      <c r="I47" s="149">
        <v>75</v>
      </c>
      <c r="J47" s="143" t="s">
        <v>472</v>
      </c>
      <c r="M47" s="12"/>
    </row>
    <row r="48" spans="1:13">
      <c r="A48" s="151" t="s">
        <v>478</v>
      </c>
      <c r="B48" s="152" t="s">
        <v>423</v>
      </c>
      <c r="C48" s="146">
        <v>2</v>
      </c>
      <c r="D48" s="147">
        <v>6</v>
      </c>
      <c r="E48" s="152" t="s">
        <v>419</v>
      </c>
      <c r="F48" s="152" t="s">
        <v>418</v>
      </c>
      <c r="G48" s="148" t="s">
        <v>418</v>
      </c>
      <c r="H48" s="153">
        <v>70</v>
      </c>
      <c r="I48" s="149">
        <v>75</v>
      </c>
      <c r="J48" s="153"/>
      <c r="M48" s="12"/>
    </row>
    <row r="49" spans="1:13">
      <c r="A49" s="154" t="s">
        <v>479</v>
      </c>
      <c r="B49" s="155" t="s">
        <v>427</v>
      </c>
      <c r="C49" s="146">
        <v>2</v>
      </c>
      <c r="D49" s="147">
        <v>4</v>
      </c>
      <c r="E49" s="155" t="s">
        <v>418</v>
      </c>
      <c r="F49" s="155" t="s">
        <v>418</v>
      </c>
      <c r="G49" s="148" t="s">
        <v>418</v>
      </c>
      <c r="H49" s="156">
        <v>70</v>
      </c>
      <c r="I49" s="149">
        <v>75</v>
      </c>
      <c r="J49" s="156" t="s">
        <v>472</v>
      </c>
      <c r="M49" s="12"/>
    </row>
    <row r="50" spans="1:13">
      <c r="A50" s="157" t="s">
        <v>480</v>
      </c>
      <c r="B50" s="158" t="s">
        <v>423</v>
      </c>
      <c r="C50" s="146">
        <v>2</v>
      </c>
      <c r="D50" s="147">
        <v>6</v>
      </c>
      <c r="E50" s="158" t="s">
        <v>419</v>
      </c>
      <c r="F50" s="158" t="s">
        <v>418</v>
      </c>
      <c r="G50" s="148" t="s">
        <v>418</v>
      </c>
      <c r="H50" s="159">
        <v>70</v>
      </c>
      <c r="I50" s="149">
        <v>75</v>
      </c>
      <c r="J50" s="159" t="s">
        <v>472</v>
      </c>
      <c r="M50" s="12"/>
    </row>
    <row r="51" spans="1:13">
      <c r="A51" s="160" t="s">
        <v>481</v>
      </c>
      <c r="B51" s="161" t="s">
        <v>423</v>
      </c>
      <c r="C51" s="146">
        <v>2</v>
      </c>
      <c r="D51" s="147">
        <v>6</v>
      </c>
      <c r="E51" s="161" t="s">
        <v>419</v>
      </c>
      <c r="F51" s="161" t="s">
        <v>418</v>
      </c>
      <c r="G51" s="148" t="s">
        <v>418</v>
      </c>
      <c r="H51" s="162">
        <v>70</v>
      </c>
      <c r="I51" s="149">
        <v>75</v>
      </c>
      <c r="J51" s="162" t="s">
        <v>472</v>
      </c>
      <c r="M51" s="12"/>
    </row>
    <row r="52" spans="1:13">
      <c r="A52" s="163" t="s">
        <v>482</v>
      </c>
      <c r="B52" s="164" t="s">
        <v>423</v>
      </c>
      <c r="C52" s="146">
        <v>2</v>
      </c>
      <c r="D52" s="147">
        <v>6</v>
      </c>
      <c r="E52" s="164" t="s">
        <v>419</v>
      </c>
      <c r="F52" s="164" t="s">
        <v>418</v>
      </c>
      <c r="G52" s="148" t="s">
        <v>418</v>
      </c>
      <c r="H52" s="165">
        <v>70</v>
      </c>
      <c r="I52" s="149">
        <v>75</v>
      </c>
      <c r="J52" s="165" t="s">
        <v>472</v>
      </c>
      <c r="M52" s="12"/>
    </row>
    <row r="53" spans="1:13">
      <c r="A53" s="166" t="s">
        <v>483</v>
      </c>
      <c r="B53" s="167" t="s">
        <v>423</v>
      </c>
      <c r="C53" s="146">
        <v>2</v>
      </c>
      <c r="D53" s="147">
        <v>6</v>
      </c>
      <c r="E53" s="167" t="s">
        <v>419</v>
      </c>
      <c r="F53" s="167" t="s">
        <v>418</v>
      </c>
      <c r="G53" s="148" t="s">
        <v>418</v>
      </c>
      <c r="H53" s="168">
        <v>70</v>
      </c>
      <c r="I53" s="149">
        <v>75</v>
      </c>
      <c r="J53" s="168" t="s">
        <v>472</v>
      </c>
      <c r="M53" s="12"/>
    </row>
    <row r="54" spans="1:13">
      <c r="A54" s="169" t="s">
        <v>484</v>
      </c>
      <c r="B54" s="170" t="s">
        <v>423</v>
      </c>
      <c r="C54" s="146">
        <v>2</v>
      </c>
      <c r="D54" s="147">
        <v>10</v>
      </c>
      <c r="E54" s="170" t="s">
        <v>419</v>
      </c>
      <c r="F54" s="170" t="s">
        <v>418</v>
      </c>
      <c r="G54" s="148" t="s">
        <v>418</v>
      </c>
      <c r="H54" s="171">
        <v>70</v>
      </c>
      <c r="I54" s="149">
        <v>75</v>
      </c>
      <c r="J54" s="171"/>
      <c r="M54" s="12"/>
    </row>
    <row r="55" spans="1:13">
      <c r="A55" s="172" t="s">
        <v>485</v>
      </c>
      <c r="B55" s="173" t="s">
        <v>418</v>
      </c>
      <c r="C55" s="146">
        <v>2</v>
      </c>
      <c r="D55" s="147">
        <v>6</v>
      </c>
      <c r="E55" s="173" t="s">
        <v>418</v>
      </c>
      <c r="F55" s="173" t="s">
        <v>418</v>
      </c>
      <c r="G55" s="148" t="s">
        <v>418</v>
      </c>
      <c r="H55" s="174" t="s">
        <v>418</v>
      </c>
      <c r="I55" s="174" t="s">
        <v>418</v>
      </c>
      <c r="J55" s="174"/>
      <c r="M55" s="12"/>
    </row>
    <row r="56" spans="1:13">
      <c r="A56" s="175" t="s">
        <v>486</v>
      </c>
      <c r="B56" s="173" t="s">
        <v>427</v>
      </c>
      <c r="C56" s="146">
        <v>3</v>
      </c>
      <c r="D56" s="147">
        <v>15</v>
      </c>
      <c r="E56" s="173" t="s">
        <v>418</v>
      </c>
      <c r="F56" s="173" t="s">
        <v>420</v>
      </c>
      <c r="G56" s="148" t="s">
        <v>443</v>
      </c>
      <c r="H56" s="174">
        <v>70</v>
      </c>
      <c r="I56" s="149">
        <v>75</v>
      </c>
      <c r="J56" s="174"/>
      <c r="M56" s="12"/>
    </row>
    <row r="57" spans="1:13">
      <c r="A57" s="175" t="s">
        <v>44</v>
      </c>
      <c r="B57" s="173" t="s">
        <v>423</v>
      </c>
      <c r="C57" s="146">
        <v>2</v>
      </c>
      <c r="D57" s="147">
        <v>10</v>
      </c>
      <c r="E57" s="173" t="s">
        <v>419</v>
      </c>
      <c r="F57" s="173" t="s">
        <v>420</v>
      </c>
      <c r="G57" s="148" t="s">
        <v>418</v>
      </c>
      <c r="H57" s="174" t="s">
        <v>418</v>
      </c>
      <c r="I57" s="174" t="s">
        <v>418</v>
      </c>
      <c r="J57" s="174"/>
      <c r="M57" s="12"/>
    </row>
    <row r="58" spans="1:13">
      <c r="A58" s="175" t="s">
        <v>487</v>
      </c>
      <c r="B58" s="173" t="s">
        <v>423</v>
      </c>
      <c r="C58" s="146" t="s">
        <v>418</v>
      </c>
      <c r="D58" s="147">
        <v>10</v>
      </c>
      <c r="E58" s="173" t="s">
        <v>419</v>
      </c>
      <c r="F58" s="173" t="s">
        <v>420</v>
      </c>
      <c r="G58" s="148" t="s">
        <v>418</v>
      </c>
      <c r="H58" s="174" t="s">
        <v>418</v>
      </c>
      <c r="I58" s="174" t="s">
        <v>418</v>
      </c>
      <c r="J58" s="174"/>
      <c r="M58" s="12"/>
    </row>
    <row r="59" spans="1:13">
      <c r="A59" s="175" t="s">
        <v>488</v>
      </c>
      <c r="B59" s="173" t="s">
        <v>423</v>
      </c>
      <c r="C59" s="146" t="s">
        <v>418</v>
      </c>
      <c r="D59" s="147">
        <v>8</v>
      </c>
      <c r="E59" s="173" t="s">
        <v>419</v>
      </c>
      <c r="F59" s="173" t="s">
        <v>418</v>
      </c>
      <c r="G59" s="148" t="s">
        <v>418</v>
      </c>
      <c r="H59" s="174" t="s">
        <v>418</v>
      </c>
      <c r="I59" s="174" t="s">
        <v>418</v>
      </c>
      <c r="J59" s="174" t="s">
        <v>489</v>
      </c>
      <c r="M59" s="12"/>
    </row>
    <row r="60" spans="1:13">
      <c r="A60" s="175" t="s">
        <v>490</v>
      </c>
      <c r="B60" s="173" t="s">
        <v>418</v>
      </c>
      <c r="C60" s="146">
        <v>2</v>
      </c>
      <c r="D60" s="147">
        <v>4</v>
      </c>
      <c r="E60" s="173" t="s">
        <v>418</v>
      </c>
      <c r="F60" s="173" t="s">
        <v>418</v>
      </c>
      <c r="G60" s="148" t="s">
        <v>424</v>
      </c>
      <c r="H60" s="174">
        <v>70</v>
      </c>
      <c r="I60" s="149">
        <v>75</v>
      </c>
      <c r="J60" s="174"/>
      <c r="M60" s="12"/>
    </row>
    <row r="61" spans="1:13">
      <c r="A61" s="175" t="s">
        <v>491</v>
      </c>
      <c r="B61" s="173" t="s">
        <v>423</v>
      </c>
      <c r="C61" s="146">
        <v>2</v>
      </c>
      <c r="D61" s="147">
        <v>12</v>
      </c>
      <c r="E61" s="173" t="s">
        <v>419</v>
      </c>
      <c r="F61" s="173" t="s">
        <v>420</v>
      </c>
      <c r="G61" s="148" t="s">
        <v>418</v>
      </c>
      <c r="H61" s="174">
        <v>68</v>
      </c>
      <c r="I61" s="149">
        <v>75</v>
      </c>
      <c r="J61" s="174" t="s">
        <v>432</v>
      </c>
      <c r="M61" s="12"/>
    </row>
    <row r="62" spans="1:13">
      <c r="A62" s="175" t="s">
        <v>492</v>
      </c>
      <c r="B62" s="173" t="s">
        <v>418</v>
      </c>
      <c r="C62" s="146">
        <v>2</v>
      </c>
      <c r="D62" s="147">
        <v>6</v>
      </c>
      <c r="E62" s="173" t="s">
        <v>418</v>
      </c>
      <c r="F62" s="173" t="s">
        <v>418</v>
      </c>
      <c r="G62" s="148" t="s">
        <v>418</v>
      </c>
      <c r="H62" s="174" t="s">
        <v>418</v>
      </c>
      <c r="I62" s="174" t="s">
        <v>418</v>
      </c>
      <c r="J62" s="174"/>
      <c r="M62" s="12"/>
    </row>
    <row r="63" spans="1:13">
      <c r="A63" s="175" t="s">
        <v>493</v>
      </c>
      <c r="B63" s="173" t="s">
        <v>423</v>
      </c>
      <c r="C63" s="146">
        <v>2</v>
      </c>
      <c r="D63" s="147">
        <v>12</v>
      </c>
      <c r="E63" s="173" t="s">
        <v>419</v>
      </c>
      <c r="F63" s="173" t="s">
        <v>420</v>
      </c>
      <c r="G63" s="148" t="s">
        <v>424</v>
      </c>
      <c r="H63" s="174">
        <v>72</v>
      </c>
      <c r="I63" s="149">
        <v>78</v>
      </c>
      <c r="J63" s="174"/>
      <c r="M63" s="12"/>
    </row>
    <row r="64" spans="1:13">
      <c r="A64" s="175" t="s">
        <v>494</v>
      </c>
      <c r="B64" s="173" t="s">
        <v>427</v>
      </c>
      <c r="C64" s="146">
        <v>2</v>
      </c>
      <c r="D64" s="147">
        <v>6</v>
      </c>
      <c r="E64" s="173" t="s">
        <v>418</v>
      </c>
      <c r="F64" s="173" t="s">
        <v>420</v>
      </c>
      <c r="G64" s="148" t="s">
        <v>438</v>
      </c>
      <c r="H64" s="174">
        <v>72</v>
      </c>
      <c r="I64" s="149">
        <v>78</v>
      </c>
      <c r="J64" s="174"/>
      <c r="M64" s="12"/>
    </row>
    <row r="65" spans="1:13">
      <c r="A65" s="175" t="s">
        <v>495</v>
      </c>
      <c r="B65" s="173" t="s">
        <v>448</v>
      </c>
      <c r="C65" s="146">
        <v>2</v>
      </c>
      <c r="D65" s="147">
        <v>10</v>
      </c>
      <c r="E65" s="173" t="s">
        <v>418</v>
      </c>
      <c r="F65" s="173" t="s">
        <v>420</v>
      </c>
      <c r="G65" s="148" t="s">
        <v>418</v>
      </c>
      <c r="H65" s="174" t="s">
        <v>418</v>
      </c>
      <c r="I65" s="174" t="s">
        <v>418</v>
      </c>
      <c r="J65" s="174"/>
      <c r="M65" s="12"/>
    </row>
    <row r="66" spans="1:13">
      <c r="A66" s="175" t="s">
        <v>496</v>
      </c>
      <c r="B66" s="173" t="s">
        <v>418</v>
      </c>
      <c r="C66" s="146">
        <v>2</v>
      </c>
      <c r="D66" s="147">
        <v>6</v>
      </c>
      <c r="E66" s="173" t="s">
        <v>418</v>
      </c>
      <c r="F66" s="173" t="s">
        <v>420</v>
      </c>
      <c r="G66" s="148" t="s">
        <v>438</v>
      </c>
      <c r="H66" s="174">
        <v>72</v>
      </c>
      <c r="I66" s="149">
        <v>78</v>
      </c>
      <c r="J66" s="174"/>
      <c r="M66" s="12"/>
    </row>
    <row r="67" spans="1:13">
      <c r="A67" s="175" t="s">
        <v>497</v>
      </c>
      <c r="B67" s="173" t="s">
        <v>423</v>
      </c>
      <c r="C67" s="146" t="s">
        <v>418</v>
      </c>
      <c r="D67" s="147">
        <v>10</v>
      </c>
      <c r="E67" s="173" t="s">
        <v>419</v>
      </c>
      <c r="F67" s="173" t="s">
        <v>420</v>
      </c>
      <c r="G67" s="148" t="s">
        <v>418</v>
      </c>
      <c r="H67" s="174">
        <v>70</v>
      </c>
      <c r="I67" s="149">
        <v>75</v>
      </c>
      <c r="J67" s="174" t="s">
        <v>498</v>
      </c>
      <c r="M67" s="12"/>
    </row>
    <row r="68" spans="1:13">
      <c r="A68" s="175" t="s">
        <v>499</v>
      </c>
      <c r="B68" s="173" t="s">
        <v>418</v>
      </c>
      <c r="C68" s="146" t="s">
        <v>418</v>
      </c>
      <c r="D68" s="147">
        <v>2</v>
      </c>
      <c r="E68" s="173" t="s">
        <v>418</v>
      </c>
      <c r="F68" s="173" t="s">
        <v>418</v>
      </c>
      <c r="G68" s="148" t="s">
        <v>418</v>
      </c>
      <c r="H68" s="174" t="s">
        <v>418</v>
      </c>
      <c r="I68" s="174" t="s">
        <v>418</v>
      </c>
      <c r="J68" s="174"/>
      <c r="M68" s="12"/>
    </row>
    <row r="69" spans="1:13">
      <c r="A69" s="175" t="s">
        <v>500</v>
      </c>
      <c r="B69" s="173" t="s">
        <v>423</v>
      </c>
      <c r="C69" s="146">
        <v>2</v>
      </c>
      <c r="D69" s="147">
        <v>6</v>
      </c>
      <c r="E69" s="173" t="s">
        <v>419</v>
      </c>
      <c r="F69" s="173" t="s">
        <v>420</v>
      </c>
      <c r="G69" s="148" t="s">
        <v>418</v>
      </c>
      <c r="H69" s="174" t="s">
        <v>418</v>
      </c>
      <c r="I69" s="174" t="s">
        <v>418</v>
      </c>
      <c r="J69" s="174"/>
      <c r="M69" s="12"/>
    </row>
    <row r="70" spans="1:13">
      <c r="A70" s="175" t="s">
        <v>501</v>
      </c>
      <c r="B70" s="173" t="s">
        <v>423</v>
      </c>
      <c r="C70" s="146" t="s">
        <v>418</v>
      </c>
      <c r="D70" s="147">
        <v>6</v>
      </c>
      <c r="E70" s="173" t="s">
        <v>419</v>
      </c>
      <c r="F70" s="173" t="s">
        <v>420</v>
      </c>
      <c r="G70" s="148" t="s">
        <v>418</v>
      </c>
      <c r="H70" s="174">
        <v>70</v>
      </c>
      <c r="I70" s="149">
        <v>75</v>
      </c>
      <c r="J70" s="174"/>
      <c r="M70" s="12"/>
    </row>
    <row r="71" spans="1:13">
      <c r="A71" s="175" t="s">
        <v>502</v>
      </c>
      <c r="B71" s="173" t="s">
        <v>423</v>
      </c>
      <c r="C71" s="146">
        <v>2</v>
      </c>
      <c r="D71" s="147">
        <v>6</v>
      </c>
      <c r="E71" s="173" t="s">
        <v>419</v>
      </c>
      <c r="F71" s="173" t="s">
        <v>418</v>
      </c>
      <c r="G71" s="148" t="s">
        <v>418</v>
      </c>
      <c r="H71" s="174">
        <v>70</v>
      </c>
      <c r="I71" s="149">
        <v>75</v>
      </c>
      <c r="J71" s="174"/>
      <c r="M71" s="12"/>
    </row>
    <row r="72" spans="1:13">
      <c r="A72" s="175" t="s">
        <v>503</v>
      </c>
      <c r="B72" s="146" t="s">
        <v>418</v>
      </c>
      <c r="C72" s="146" t="s">
        <v>418</v>
      </c>
      <c r="D72" s="147">
        <v>2</v>
      </c>
      <c r="E72" s="173" t="s">
        <v>418</v>
      </c>
      <c r="F72" s="173" t="s">
        <v>418</v>
      </c>
      <c r="G72" s="173" t="s">
        <v>418</v>
      </c>
      <c r="H72" s="173" t="s">
        <v>418</v>
      </c>
      <c r="I72" s="173" t="s">
        <v>418</v>
      </c>
      <c r="J72" s="174" t="s">
        <v>504</v>
      </c>
      <c r="M72" s="12"/>
    </row>
    <row r="73" spans="1:13">
      <c r="A73" s="175" t="s">
        <v>505</v>
      </c>
      <c r="B73" s="173" t="s">
        <v>418</v>
      </c>
      <c r="C73" s="146">
        <v>2</v>
      </c>
      <c r="D73" s="147">
        <v>6</v>
      </c>
      <c r="E73" s="173" t="s">
        <v>418</v>
      </c>
      <c r="F73" s="173" t="s">
        <v>418</v>
      </c>
      <c r="G73" s="148" t="s">
        <v>418</v>
      </c>
      <c r="H73" s="174">
        <v>70</v>
      </c>
      <c r="I73" s="149">
        <v>75</v>
      </c>
      <c r="J73" s="174"/>
      <c r="M73" s="12"/>
    </row>
    <row r="74" spans="1:13">
      <c r="A74" s="175" t="s">
        <v>506</v>
      </c>
      <c r="B74" s="173" t="s">
        <v>418</v>
      </c>
      <c r="C74" s="146">
        <v>2</v>
      </c>
      <c r="D74" s="147">
        <v>6</v>
      </c>
      <c r="E74" s="173" t="s">
        <v>418</v>
      </c>
      <c r="F74" s="173" t="s">
        <v>418</v>
      </c>
      <c r="G74" s="148" t="s">
        <v>418</v>
      </c>
      <c r="H74" s="174">
        <v>70</v>
      </c>
      <c r="I74" s="149">
        <v>75</v>
      </c>
      <c r="J74" s="174"/>
      <c r="M74" s="12"/>
    </row>
    <row r="75" spans="1:13">
      <c r="A75" s="175" t="s">
        <v>507</v>
      </c>
      <c r="B75" s="173" t="s">
        <v>427</v>
      </c>
      <c r="C75" s="146">
        <v>4</v>
      </c>
      <c r="D75" s="147">
        <v>20</v>
      </c>
      <c r="E75" s="173" t="s">
        <v>418</v>
      </c>
      <c r="F75" s="173" t="s">
        <v>420</v>
      </c>
      <c r="G75" s="148" t="s">
        <v>443</v>
      </c>
      <c r="H75" s="174">
        <v>68</v>
      </c>
      <c r="I75" s="149">
        <v>75</v>
      </c>
      <c r="J75" s="174"/>
      <c r="M75" s="12"/>
    </row>
    <row r="76" spans="1:13">
      <c r="A76" s="175" t="s">
        <v>508</v>
      </c>
      <c r="B76" s="173" t="s">
        <v>427</v>
      </c>
      <c r="C76" s="146">
        <v>4</v>
      </c>
      <c r="D76" s="147">
        <v>20</v>
      </c>
      <c r="E76" s="173" t="s">
        <v>418</v>
      </c>
      <c r="F76" s="173" t="s">
        <v>420</v>
      </c>
      <c r="G76" s="148" t="s">
        <v>443</v>
      </c>
      <c r="H76" s="174">
        <v>68</v>
      </c>
      <c r="I76" s="149">
        <v>75</v>
      </c>
      <c r="J76" s="174" t="s">
        <v>2711</v>
      </c>
      <c r="M76" s="12"/>
    </row>
    <row r="77" spans="1:13">
      <c r="A77" s="175" t="s">
        <v>176</v>
      </c>
      <c r="B77" s="173" t="s">
        <v>418</v>
      </c>
      <c r="C77" s="146" t="s">
        <v>418</v>
      </c>
      <c r="D77" s="147">
        <v>2</v>
      </c>
      <c r="E77" s="173" t="s">
        <v>418</v>
      </c>
      <c r="F77" s="173" t="s">
        <v>418</v>
      </c>
      <c r="G77" s="148" t="s">
        <v>418</v>
      </c>
      <c r="H77" s="174" t="s">
        <v>418</v>
      </c>
      <c r="I77" s="174" t="s">
        <v>418</v>
      </c>
      <c r="J77" s="174"/>
      <c r="M77" s="12"/>
    </row>
    <row r="78" spans="1:13">
      <c r="A78" s="175" t="s">
        <v>509</v>
      </c>
      <c r="B78" s="173" t="s">
        <v>418</v>
      </c>
      <c r="C78" s="146">
        <v>2</v>
      </c>
      <c r="D78" s="147">
        <v>6</v>
      </c>
      <c r="E78" s="173" t="s">
        <v>418</v>
      </c>
      <c r="F78" s="173" t="s">
        <v>420</v>
      </c>
      <c r="G78" s="148" t="s">
        <v>418</v>
      </c>
      <c r="H78" s="174" t="s">
        <v>418</v>
      </c>
      <c r="I78" s="174" t="s">
        <v>418</v>
      </c>
      <c r="J78" s="174"/>
      <c r="M78" s="12"/>
    </row>
    <row r="79" spans="1:13">
      <c r="A79" s="175" t="s">
        <v>510</v>
      </c>
      <c r="B79" s="173" t="s">
        <v>418</v>
      </c>
      <c r="C79" s="146">
        <v>2</v>
      </c>
      <c r="D79" s="147">
        <v>4</v>
      </c>
      <c r="E79" s="173" t="s">
        <v>418</v>
      </c>
      <c r="F79" s="173" t="s">
        <v>418</v>
      </c>
      <c r="G79" s="148" t="s">
        <v>424</v>
      </c>
      <c r="H79" s="174">
        <v>70</v>
      </c>
      <c r="I79" s="149">
        <v>75</v>
      </c>
      <c r="J79" s="174" t="s">
        <v>511</v>
      </c>
      <c r="M79" s="12"/>
    </row>
    <row r="80" spans="1:13">
      <c r="A80" s="176" t="s">
        <v>512</v>
      </c>
      <c r="B80" s="177" t="s">
        <v>418</v>
      </c>
      <c r="C80" s="146">
        <v>2</v>
      </c>
      <c r="D80" s="147">
        <v>6</v>
      </c>
      <c r="E80" s="177" t="s">
        <v>418</v>
      </c>
      <c r="F80" s="177" t="s">
        <v>418</v>
      </c>
      <c r="G80" s="148" t="s">
        <v>418</v>
      </c>
      <c r="H80" s="178" t="s">
        <v>418</v>
      </c>
      <c r="I80" s="178" t="s">
        <v>418</v>
      </c>
      <c r="J80" s="178"/>
    </row>
    <row r="81" spans="1:13">
      <c r="A81" s="179" t="s">
        <v>513</v>
      </c>
      <c r="B81" s="180" t="s">
        <v>427</v>
      </c>
      <c r="C81" s="146">
        <v>2</v>
      </c>
      <c r="D81" s="147">
        <v>4</v>
      </c>
      <c r="E81" s="180" t="s">
        <v>418</v>
      </c>
      <c r="F81" s="180" t="s">
        <v>418</v>
      </c>
      <c r="G81" s="148" t="s">
        <v>418</v>
      </c>
      <c r="H81" s="181" t="s">
        <v>418</v>
      </c>
      <c r="I81" s="181" t="s">
        <v>418</v>
      </c>
      <c r="J81" s="181" t="s">
        <v>291</v>
      </c>
      <c r="M81" s="12"/>
    </row>
    <row r="82" spans="1:13">
      <c r="A82" s="182" t="s">
        <v>514</v>
      </c>
      <c r="B82" s="183" t="s">
        <v>418</v>
      </c>
      <c r="C82" s="146">
        <v>2</v>
      </c>
      <c r="D82" s="147">
        <v>4</v>
      </c>
      <c r="E82" s="183" t="s">
        <v>418</v>
      </c>
      <c r="F82" s="183" t="s">
        <v>418</v>
      </c>
      <c r="G82" s="148" t="s">
        <v>418</v>
      </c>
      <c r="H82" s="184" t="s">
        <v>418</v>
      </c>
      <c r="I82" s="184" t="s">
        <v>418</v>
      </c>
      <c r="J82" s="184"/>
      <c r="M82" s="12"/>
    </row>
    <row r="83" spans="1:13">
      <c r="A83" s="185" t="s">
        <v>515</v>
      </c>
      <c r="B83" s="186" t="s">
        <v>427</v>
      </c>
      <c r="C83" s="146" t="s">
        <v>418</v>
      </c>
      <c r="D83" s="147" t="s">
        <v>418</v>
      </c>
      <c r="E83" s="186" t="s">
        <v>418</v>
      </c>
      <c r="F83" s="186" t="s">
        <v>418</v>
      </c>
      <c r="G83" s="148" t="s">
        <v>516</v>
      </c>
      <c r="H83" s="187">
        <v>68</v>
      </c>
      <c r="I83" s="187">
        <v>68</v>
      </c>
      <c r="J83" s="187" t="s">
        <v>291</v>
      </c>
      <c r="M83" s="12"/>
    </row>
    <row r="84" spans="1:13">
      <c r="A84" s="188" t="s">
        <v>517</v>
      </c>
      <c r="B84" s="189" t="s">
        <v>423</v>
      </c>
      <c r="C84" s="146" t="s">
        <v>418</v>
      </c>
      <c r="D84" s="147">
        <v>30</v>
      </c>
      <c r="E84" s="189" t="s">
        <v>419</v>
      </c>
      <c r="F84" s="189" t="s">
        <v>420</v>
      </c>
      <c r="G84" s="148" t="s">
        <v>516</v>
      </c>
      <c r="H84" s="190">
        <v>68</v>
      </c>
      <c r="I84" s="190">
        <v>68</v>
      </c>
      <c r="J84" s="190" t="s">
        <v>291</v>
      </c>
    </row>
    <row r="85" spans="1:13">
      <c r="A85" s="191" t="s">
        <v>518</v>
      </c>
      <c r="B85" s="192" t="s">
        <v>423</v>
      </c>
      <c r="C85" s="146" t="s">
        <v>418</v>
      </c>
      <c r="D85" s="147">
        <v>12</v>
      </c>
      <c r="E85" s="192" t="s">
        <v>419</v>
      </c>
      <c r="F85" s="192" t="s">
        <v>418</v>
      </c>
      <c r="G85" s="148" t="s">
        <v>418</v>
      </c>
      <c r="H85" s="193" t="s">
        <v>418</v>
      </c>
      <c r="I85" s="193" t="s">
        <v>418</v>
      </c>
      <c r="J85" s="193" t="s">
        <v>519</v>
      </c>
    </row>
    <row r="86" spans="1:13">
      <c r="A86" s="194" t="s">
        <v>520</v>
      </c>
      <c r="B86" s="195" t="s">
        <v>423</v>
      </c>
      <c r="C86" s="146" t="s">
        <v>418</v>
      </c>
      <c r="D86" s="147">
        <v>12</v>
      </c>
      <c r="E86" s="195" t="s">
        <v>419</v>
      </c>
      <c r="F86" s="195" t="s">
        <v>418</v>
      </c>
      <c r="G86" s="148" t="s">
        <v>418</v>
      </c>
      <c r="H86" s="196" t="s">
        <v>418</v>
      </c>
      <c r="I86" s="196" t="s">
        <v>418</v>
      </c>
      <c r="J86" s="196" t="s">
        <v>291</v>
      </c>
    </row>
    <row r="87" spans="1:13">
      <c r="A87" s="197" t="s">
        <v>521</v>
      </c>
      <c r="B87" s="198" t="s">
        <v>427</v>
      </c>
      <c r="C87" s="146" t="s">
        <v>418</v>
      </c>
      <c r="D87" s="147">
        <v>30</v>
      </c>
      <c r="E87" s="198" t="s">
        <v>418</v>
      </c>
      <c r="F87" s="198" t="s">
        <v>418</v>
      </c>
      <c r="G87" s="148" t="s">
        <v>516</v>
      </c>
      <c r="H87" s="199">
        <v>68</v>
      </c>
      <c r="I87" s="199">
        <v>68</v>
      </c>
      <c r="J87" s="199" t="s">
        <v>291</v>
      </c>
    </row>
    <row r="88" spans="1:13">
      <c r="A88" s="200" t="s">
        <v>522</v>
      </c>
      <c r="B88" s="201" t="s">
        <v>427</v>
      </c>
      <c r="C88" s="146" t="s">
        <v>418</v>
      </c>
      <c r="D88" s="147">
        <v>30</v>
      </c>
      <c r="E88" s="201" t="s">
        <v>418</v>
      </c>
      <c r="F88" s="201" t="s">
        <v>420</v>
      </c>
      <c r="G88" s="148" t="s">
        <v>516</v>
      </c>
      <c r="H88" s="202">
        <v>68</v>
      </c>
      <c r="I88" s="202">
        <v>68</v>
      </c>
      <c r="J88" s="202" t="s">
        <v>291</v>
      </c>
    </row>
    <row r="89" spans="1:13">
      <c r="A89" s="203" t="s">
        <v>523</v>
      </c>
      <c r="B89" s="204" t="s">
        <v>418</v>
      </c>
      <c r="C89" s="146" t="s">
        <v>418</v>
      </c>
      <c r="D89" s="147" t="s">
        <v>418</v>
      </c>
      <c r="E89" s="204" t="s">
        <v>418</v>
      </c>
      <c r="F89" s="204" t="s">
        <v>418</v>
      </c>
      <c r="G89" s="148" t="s">
        <v>418</v>
      </c>
      <c r="H89" s="205" t="s">
        <v>418</v>
      </c>
      <c r="I89" s="205" t="s">
        <v>418</v>
      </c>
      <c r="J89" s="205"/>
    </row>
    <row r="90" spans="1:13">
      <c r="A90" s="206" t="s">
        <v>524</v>
      </c>
      <c r="B90" s="207" t="s">
        <v>423</v>
      </c>
      <c r="C90" s="146">
        <v>2</v>
      </c>
      <c r="D90" s="147">
        <v>6</v>
      </c>
      <c r="E90" s="207" t="s">
        <v>418</v>
      </c>
      <c r="F90" s="207" t="s">
        <v>418</v>
      </c>
      <c r="G90" s="148" t="s">
        <v>418</v>
      </c>
      <c r="H90" s="208">
        <v>70</v>
      </c>
      <c r="I90" s="149">
        <v>75</v>
      </c>
      <c r="J90" s="208"/>
    </row>
    <row r="91" spans="1:13">
      <c r="A91" s="209" t="s">
        <v>525</v>
      </c>
      <c r="B91" s="210" t="s">
        <v>423</v>
      </c>
      <c r="C91" s="146">
        <v>2</v>
      </c>
      <c r="D91" s="147">
        <v>6</v>
      </c>
      <c r="E91" s="210" t="s">
        <v>418</v>
      </c>
      <c r="F91" s="210" t="s">
        <v>418</v>
      </c>
      <c r="G91" s="148" t="s">
        <v>453</v>
      </c>
      <c r="H91" s="211">
        <v>72</v>
      </c>
      <c r="I91" s="149">
        <v>80</v>
      </c>
      <c r="J91" s="211"/>
    </row>
    <row r="92" spans="1:13">
      <c r="A92" s="212" t="s">
        <v>526</v>
      </c>
      <c r="B92" s="213" t="s">
        <v>418</v>
      </c>
      <c r="C92" s="146">
        <v>2</v>
      </c>
      <c r="D92" s="147">
        <v>6</v>
      </c>
      <c r="E92" s="213" t="s">
        <v>419</v>
      </c>
      <c r="F92" s="213" t="s">
        <v>420</v>
      </c>
      <c r="G92" s="148" t="s">
        <v>443</v>
      </c>
      <c r="H92" s="214">
        <v>70</v>
      </c>
      <c r="I92" s="149">
        <v>75</v>
      </c>
      <c r="J92" s="214"/>
    </row>
    <row r="93" spans="1:13">
      <c r="A93" s="215" t="s">
        <v>527</v>
      </c>
      <c r="B93" s="216" t="s">
        <v>423</v>
      </c>
      <c r="C93" s="146">
        <v>2</v>
      </c>
      <c r="D93" s="147">
        <v>12</v>
      </c>
      <c r="E93" s="216" t="s">
        <v>419</v>
      </c>
      <c r="F93" s="216" t="s">
        <v>418</v>
      </c>
      <c r="G93" s="148" t="s">
        <v>418</v>
      </c>
      <c r="H93" s="217" t="s">
        <v>418</v>
      </c>
      <c r="I93" s="217" t="s">
        <v>418</v>
      </c>
      <c r="J93" s="217" t="s">
        <v>454</v>
      </c>
    </row>
    <row r="94" spans="1:13">
      <c r="A94" s="218" t="s">
        <v>528</v>
      </c>
      <c r="B94" s="219" t="s">
        <v>427</v>
      </c>
      <c r="C94" s="146">
        <v>3</v>
      </c>
      <c r="D94" s="147">
        <v>15</v>
      </c>
      <c r="E94" s="219" t="s">
        <v>418</v>
      </c>
      <c r="F94" s="219" t="s">
        <v>420</v>
      </c>
      <c r="G94" s="148" t="s">
        <v>443</v>
      </c>
      <c r="H94" s="220">
        <v>70</v>
      </c>
      <c r="I94" s="149">
        <v>75</v>
      </c>
      <c r="J94" s="220" t="s">
        <v>2712</v>
      </c>
    </row>
    <row r="95" spans="1:13">
      <c r="A95" s="221" t="s">
        <v>529</v>
      </c>
      <c r="B95" s="222" t="s">
        <v>530</v>
      </c>
      <c r="C95" s="146" t="s">
        <v>418</v>
      </c>
      <c r="D95" s="147">
        <v>10</v>
      </c>
      <c r="E95" s="222" t="s">
        <v>418</v>
      </c>
      <c r="F95" s="222" t="s">
        <v>420</v>
      </c>
      <c r="G95" s="148" t="s">
        <v>418</v>
      </c>
      <c r="H95" s="223" t="s">
        <v>418</v>
      </c>
      <c r="I95" s="223" t="s">
        <v>418</v>
      </c>
      <c r="J95" s="223" t="s">
        <v>531</v>
      </c>
    </row>
    <row r="96" spans="1:13">
      <c r="A96" s="224" t="s">
        <v>532</v>
      </c>
      <c r="B96" s="225" t="s">
        <v>427</v>
      </c>
      <c r="C96" s="146">
        <v>2</v>
      </c>
      <c r="D96" s="147">
        <v>12</v>
      </c>
      <c r="E96" s="225" t="s">
        <v>418</v>
      </c>
      <c r="F96" s="225" t="s">
        <v>420</v>
      </c>
      <c r="G96" s="148" t="s">
        <v>424</v>
      </c>
      <c r="H96" s="226">
        <v>70</v>
      </c>
      <c r="I96" s="149">
        <v>75</v>
      </c>
      <c r="J96" s="226" t="s">
        <v>531</v>
      </c>
    </row>
    <row r="97" spans="1:10">
      <c r="A97" s="227" t="s">
        <v>533</v>
      </c>
      <c r="B97" s="228" t="s">
        <v>423</v>
      </c>
      <c r="C97" s="146">
        <v>2</v>
      </c>
      <c r="D97" s="147">
        <v>12</v>
      </c>
      <c r="E97" s="228" t="s">
        <v>419</v>
      </c>
      <c r="F97" s="228" t="s">
        <v>418</v>
      </c>
      <c r="G97" s="148" t="s">
        <v>424</v>
      </c>
      <c r="H97" s="229">
        <v>70</v>
      </c>
      <c r="I97" s="149">
        <v>75</v>
      </c>
      <c r="J97" s="229" t="s">
        <v>534</v>
      </c>
    </row>
    <row r="98" spans="1:10">
      <c r="A98" s="230" t="s">
        <v>535</v>
      </c>
      <c r="B98" s="231" t="s">
        <v>418</v>
      </c>
      <c r="C98" s="146">
        <v>2</v>
      </c>
      <c r="D98" s="147">
        <v>6</v>
      </c>
      <c r="E98" s="231" t="s">
        <v>418</v>
      </c>
      <c r="F98" s="231" t="s">
        <v>420</v>
      </c>
      <c r="G98" s="148" t="s">
        <v>443</v>
      </c>
      <c r="H98" s="232">
        <v>70</v>
      </c>
      <c r="I98" s="149">
        <v>75</v>
      </c>
      <c r="J98" s="232"/>
    </row>
    <row r="99" spans="1:10">
      <c r="A99" s="233" t="s">
        <v>536</v>
      </c>
      <c r="B99" s="234" t="s">
        <v>418</v>
      </c>
      <c r="C99" s="146">
        <v>2</v>
      </c>
      <c r="D99" s="147">
        <v>6</v>
      </c>
      <c r="E99" s="234" t="s">
        <v>418</v>
      </c>
      <c r="F99" s="234" t="s">
        <v>418</v>
      </c>
      <c r="G99" s="148" t="s">
        <v>418</v>
      </c>
      <c r="H99" s="235" t="s">
        <v>418</v>
      </c>
      <c r="I99" s="235" t="s">
        <v>418</v>
      </c>
      <c r="J99" s="235"/>
    </row>
    <row r="100" spans="1:10">
      <c r="A100" s="236" t="s">
        <v>537</v>
      </c>
      <c r="B100" s="237" t="s">
        <v>418</v>
      </c>
      <c r="C100" s="146">
        <v>4</v>
      </c>
      <c r="D100" s="147">
        <v>4</v>
      </c>
      <c r="E100" s="237" t="s">
        <v>418</v>
      </c>
      <c r="F100" s="237" t="s">
        <v>418</v>
      </c>
      <c r="G100" s="148" t="s">
        <v>418</v>
      </c>
      <c r="H100" s="238">
        <v>70</v>
      </c>
      <c r="I100" s="149">
        <v>75</v>
      </c>
      <c r="J100" s="238"/>
    </row>
    <row r="101" spans="1:10">
      <c r="A101" s="239" t="s">
        <v>538</v>
      </c>
      <c r="B101" s="240" t="s">
        <v>418</v>
      </c>
      <c r="C101" s="146">
        <v>2</v>
      </c>
      <c r="D101" s="147">
        <v>2</v>
      </c>
      <c r="E101" s="240" t="s">
        <v>418</v>
      </c>
      <c r="F101" s="240" t="s">
        <v>418</v>
      </c>
      <c r="G101" s="148" t="s">
        <v>418</v>
      </c>
      <c r="H101" s="241">
        <v>70</v>
      </c>
      <c r="I101" s="149">
        <v>75</v>
      </c>
      <c r="J101" s="241"/>
    </row>
    <row r="102" spans="1:10">
      <c r="A102" s="242" t="s">
        <v>539</v>
      </c>
      <c r="B102" s="243" t="s">
        <v>418</v>
      </c>
      <c r="C102" s="146" t="s">
        <v>418</v>
      </c>
      <c r="D102" s="147">
        <v>4</v>
      </c>
      <c r="E102" s="243" t="s">
        <v>418</v>
      </c>
      <c r="F102" s="243" t="s">
        <v>418</v>
      </c>
      <c r="G102" s="148" t="s">
        <v>418</v>
      </c>
      <c r="H102" s="244" t="s">
        <v>418</v>
      </c>
      <c r="I102" s="244" t="s">
        <v>418</v>
      </c>
      <c r="J102" s="244"/>
    </row>
    <row r="103" spans="1:10">
      <c r="A103" s="245" t="s">
        <v>540</v>
      </c>
      <c r="B103" s="246" t="s">
        <v>418</v>
      </c>
      <c r="C103" s="146">
        <v>2</v>
      </c>
      <c r="D103" s="147">
        <v>6</v>
      </c>
      <c r="E103" s="246" t="s">
        <v>418</v>
      </c>
      <c r="F103" s="246" t="s">
        <v>418</v>
      </c>
      <c r="G103" s="148" t="s">
        <v>418</v>
      </c>
      <c r="H103" s="247" t="s">
        <v>418</v>
      </c>
      <c r="I103" s="247" t="s">
        <v>418</v>
      </c>
      <c r="J103" s="247"/>
    </row>
    <row r="104" spans="1:10">
      <c r="A104" s="248" t="s">
        <v>541</v>
      </c>
      <c r="B104" s="249" t="s">
        <v>418</v>
      </c>
      <c r="C104" s="250">
        <v>2</v>
      </c>
      <c r="D104" s="251">
        <v>4</v>
      </c>
      <c r="E104" s="249" t="s">
        <v>418</v>
      </c>
      <c r="F104" s="249" t="s">
        <v>418</v>
      </c>
      <c r="G104" s="252" t="s">
        <v>418</v>
      </c>
      <c r="H104" s="247" t="s">
        <v>418</v>
      </c>
      <c r="I104" s="247" t="s">
        <v>418</v>
      </c>
      <c r="J104" s="149"/>
    </row>
    <row r="105" spans="1:10">
      <c r="A105" s="248" t="s">
        <v>542</v>
      </c>
      <c r="B105" s="249" t="s">
        <v>423</v>
      </c>
      <c r="C105" s="250" t="s">
        <v>418</v>
      </c>
      <c r="D105" s="251">
        <v>10</v>
      </c>
      <c r="E105" s="249" t="s">
        <v>419</v>
      </c>
      <c r="F105" s="249" t="s">
        <v>420</v>
      </c>
      <c r="G105" s="252" t="s">
        <v>418</v>
      </c>
      <c r="H105" s="247" t="s">
        <v>418</v>
      </c>
      <c r="I105" s="247" t="s">
        <v>418</v>
      </c>
      <c r="J105" s="253"/>
    </row>
    <row r="106" spans="1:10">
      <c r="A106" s="254" t="s">
        <v>543</v>
      </c>
      <c r="B106" s="255" t="s">
        <v>423</v>
      </c>
      <c r="C106" s="250" t="s">
        <v>418</v>
      </c>
      <c r="D106" s="251">
        <v>10</v>
      </c>
      <c r="E106" s="255" t="s">
        <v>419</v>
      </c>
      <c r="F106" s="255" t="s">
        <v>420</v>
      </c>
      <c r="G106" s="252" t="s">
        <v>418</v>
      </c>
      <c r="H106" s="247" t="s">
        <v>418</v>
      </c>
      <c r="I106" s="247" t="s">
        <v>418</v>
      </c>
      <c r="J106" s="253"/>
    </row>
    <row r="107" spans="1:10">
      <c r="A107" s="254" t="s">
        <v>544</v>
      </c>
      <c r="B107" s="255" t="s">
        <v>423</v>
      </c>
      <c r="C107" s="250">
        <v>2</v>
      </c>
      <c r="D107" s="251">
        <v>6</v>
      </c>
      <c r="E107" s="255" t="s">
        <v>419</v>
      </c>
      <c r="F107" s="255" t="s">
        <v>420</v>
      </c>
      <c r="G107" s="252" t="s">
        <v>418</v>
      </c>
      <c r="H107" s="247">
        <v>72</v>
      </c>
      <c r="I107" s="256">
        <v>78</v>
      </c>
      <c r="J107" s="256"/>
    </row>
    <row r="108" spans="1:10">
      <c r="A108" s="257" t="s">
        <v>545</v>
      </c>
      <c r="B108" s="258" t="s">
        <v>423</v>
      </c>
      <c r="C108" s="250">
        <v>2</v>
      </c>
      <c r="D108" s="251">
        <v>10</v>
      </c>
      <c r="E108" s="258" t="s">
        <v>419</v>
      </c>
      <c r="F108" s="258" t="s">
        <v>420</v>
      </c>
      <c r="G108" s="252" t="s">
        <v>418</v>
      </c>
      <c r="H108" s="247" t="s">
        <v>418</v>
      </c>
      <c r="I108" s="247" t="s">
        <v>418</v>
      </c>
      <c r="J108" s="256"/>
    </row>
    <row r="109" spans="1:10">
      <c r="A109" s="257" t="s">
        <v>546</v>
      </c>
      <c r="B109" s="258" t="s">
        <v>418</v>
      </c>
      <c r="C109" s="250">
        <v>2</v>
      </c>
      <c r="D109" s="251">
        <v>6</v>
      </c>
      <c r="E109" s="258" t="s">
        <v>419</v>
      </c>
      <c r="F109" s="258" t="s">
        <v>418</v>
      </c>
      <c r="G109" s="252" t="s">
        <v>418</v>
      </c>
      <c r="H109" s="247" t="s">
        <v>418</v>
      </c>
      <c r="I109" s="247" t="s">
        <v>418</v>
      </c>
      <c r="J109" s="259"/>
    </row>
    <row r="110" spans="1:10">
      <c r="A110" s="260" t="s">
        <v>547</v>
      </c>
      <c r="B110" s="261" t="s">
        <v>418</v>
      </c>
      <c r="C110" s="250">
        <v>2</v>
      </c>
      <c r="D110" s="251">
        <v>6</v>
      </c>
      <c r="E110" s="261" t="s">
        <v>418</v>
      </c>
      <c r="F110" s="261" t="s">
        <v>418</v>
      </c>
      <c r="G110" s="252" t="s">
        <v>418</v>
      </c>
      <c r="H110" s="247" t="s">
        <v>418</v>
      </c>
      <c r="I110" s="247" t="s">
        <v>418</v>
      </c>
      <c r="J110" s="259"/>
    </row>
    <row r="111" spans="1:10">
      <c r="A111" s="260" t="s">
        <v>548</v>
      </c>
      <c r="B111" s="261" t="s">
        <v>427</v>
      </c>
      <c r="C111" s="250">
        <v>2</v>
      </c>
      <c r="D111" s="251">
        <v>4</v>
      </c>
      <c r="E111" s="261" t="s">
        <v>418</v>
      </c>
      <c r="F111" s="261" t="s">
        <v>418</v>
      </c>
      <c r="G111" s="252" t="s">
        <v>424</v>
      </c>
      <c r="H111" s="247">
        <v>72</v>
      </c>
      <c r="I111" s="262">
        <v>78</v>
      </c>
      <c r="J111" s="262"/>
    </row>
    <row r="112" spans="1:10">
      <c r="A112" s="263" t="s">
        <v>549</v>
      </c>
      <c r="B112" s="261" t="s">
        <v>423</v>
      </c>
      <c r="C112" s="250" t="s">
        <v>418</v>
      </c>
      <c r="D112" s="251">
        <v>10</v>
      </c>
      <c r="E112" s="261" t="s">
        <v>419</v>
      </c>
      <c r="F112" s="261" t="s">
        <v>420</v>
      </c>
      <c r="G112" s="252" t="s">
        <v>418</v>
      </c>
      <c r="H112" s="247" t="s">
        <v>418</v>
      </c>
      <c r="I112" s="247" t="s">
        <v>418</v>
      </c>
      <c r="J112" s="262"/>
    </row>
    <row r="113" spans="1:13">
      <c r="A113" s="263" t="s">
        <v>550</v>
      </c>
      <c r="B113" s="261" t="s">
        <v>418</v>
      </c>
      <c r="C113" s="250">
        <v>2</v>
      </c>
      <c r="D113" s="251">
        <v>6</v>
      </c>
      <c r="E113" s="261" t="s">
        <v>418</v>
      </c>
      <c r="F113" s="261" t="s">
        <v>420</v>
      </c>
      <c r="G113" s="252" t="s">
        <v>418</v>
      </c>
      <c r="H113" s="247" t="s">
        <v>418</v>
      </c>
      <c r="I113" s="247" t="s">
        <v>418</v>
      </c>
      <c r="J113" s="262"/>
    </row>
    <row r="114" spans="1:13">
      <c r="A114" s="263" t="s">
        <v>551</v>
      </c>
      <c r="B114" s="261" t="s">
        <v>423</v>
      </c>
      <c r="C114" s="250" t="s">
        <v>418</v>
      </c>
      <c r="D114" s="251">
        <v>10</v>
      </c>
      <c r="E114" s="261" t="s">
        <v>419</v>
      </c>
      <c r="F114" s="261" t="s">
        <v>420</v>
      </c>
      <c r="G114" s="252" t="s">
        <v>418</v>
      </c>
      <c r="H114" s="247" t="s">
        <v>418</v>
      </c>
      <c r="I114" s="247" t="s">
        <v>418</v>
      </c>
      <c r="J114" s="262"/>
    </row>
    <row r="115" spans="1:13">
      <c r="A115" s="263" t="s">
        <v>552</v>
      </c>
      <c r="B115" s="261" t="s">
        <v>427</v>
      </c>
      <c r="C115" s="250">
        <v>3</v>
      </c>
      <c r="D115" s="251">
        <v>15</v>
      </c>
      <c r="E115" s="261" t="s">
        <v>418</v>
      </c>
      <c r="F115" s="261" t="s">
        <v>420</v>
      </c>
      <c r="G115" s="252" t="s">
        <v>443</v>
      </c>
      <c r="H115" s="247">
        <v>70</v>
      </c>
      <c r="I115" s="262">
        <v>75</v>
      </c>
      <c r="J115" s="262" t="s">
        <v>334</v>
      </c>
      <c r="M115" s="12"/>
    </row>
    <row r="116" spans="1:13">
      <c r="A116" s="263" t="s">
        <v>553</v>
      </c>
      <c r="B116" s="261" t="s">
        <v>418</v>
      </c>
      <c r="C116" s="250">
        <v>2</v>
      </c>
      <c r="D116" s="251">
        <v>6</v>
      </c>
      <c r="E116" s="261" t="s">
        <v>418</v>
      </c>
      <c r="F116" s="261" t="s">
        <v>418</v>
      </c>
      <c r="G116" s="252" t="s">
        <v>443</v>
      </c>
      <c r="H116" s="247">
        <v>70</v>
      </c>
      <c r="I116" s="262">
        <v>75</v>
      </c>
      <c r="J116" s="262" t="s">
        <v>448</v>
      </c>
      <c r="M116" s="12"/>
    </row>
    <row r="117" spans="1:13">
      <c r="A117" s="263" t="s">
        <v>554</v>
      </c>
      <c r="B117" s="261" t="s">
        <v>418</v>
      </c>
      <c r="C117" s="250">
        <v>2</v>
      </c>
      <c r="D117" s="251">
        <v>6</v>
      </c>
      <c r="E117" s="261" t="s">
        <v>418</v>
      </c>
      <c r="F117" s="261" t="s">
        <v>418</v>
      </c>
      <c r="G117" s="252" t="s">
        <v>424</v>
      </c>
      <c r="H117" s="247">
        <v>70</v>
      </c>
      <c r="I117" s="262">
        <v>75</v>
      </c>
      <c r="J117" s="262" t="s">
        <v>460</v>
      </c>
      <c r="M117" s="12"/>
    </row>
    <row r="118" spans="1:13">
      <c r="A118" s="263" t="s">
        <v>555</v>
      </c>
      <c r="B118" s="261" t="s">
        <v>423</v>
      </c>
      <c r="C118" s="250">
        <v>2</v>
      </c>
      <c r="D118" s="251">
        <v>12</v>
      </c>
      <c r="E118" s="261" t="s">
        <v>419</v>
      </c>
      <c r="F118" s="261" t="s">
        <v>418</v>
      </c>
      <c r="G118" s="252" t="s">
        <v>424</v>
      </c>
      <c r="H118" s="247">
        <v>70</v>
      </c>
      <c r="I118" s="262">
        <v>75</v>
      </c>
      <c r="J118" s="262" t="s">
        <v>454</v>
      </c>
      <c r="M118" s="12"/>
    </row>
    <row r="119" spans="1:13">
      <c r="A119" s="263" t="s">
        <v>556</v>
      </c>
      <c r="B119" s="261" t="s">
        <v>418</v>
      </c>
      <c r="C119" s="250">
        <v>2</v>
      </c>
      <c r="D119" s="251">
        <v>6</v>
      </c>
      <c r="E119" s="261" t="s">
        <v>418</v>
      </c>
      <c r="F119" s="261" t="s">
        <v>418</v>
      </c>
      <c r="G119" s="252" t="s">
        <v>418</v>
      </c>
      <c r="H119" s="247" t="s">
        <v>418</v>
      </c>
      <c r="I119" s="247" t="s">
        <v>418</v>
      </c>
      <c r="J119" s="262"/>
      <c r="M119" s="12"/>
    </row>
    <row r="120" spans="1:13">
      <c r="A120" s="263" t="s">
        <v>557</v>
      </c>
      <c r="B120" s="261" t="s">
        <v>418</v>
      </c>
      <c r="C120" s="250">
        <v>2</v>
      </c>
      <c r="D120" s="251">
        <v>2</v>
      </c>
      <c r="E120" s="261" t="s">
        <v>418</v>
      </c>
      <c r="F120" s="261" t="s">
        <v>418</v>
      </c>
      <c r="G120" s="252" t="s">
        <v>418</v>
      </c>
      <c r="H120" s="247" t="s">
        <v>418</v>
      </c>
      <c r="I120" s="247" t="s">
        <v>418</v>
      </c>
      <c r="J120" s="262"/>
      <c r="M120" s="12"/>
    </row>
    <row r="121" spans="1:13">
      <c r="A121" s="263" t="s">
        <v>558</v>
      </c>
      <c r="B121" s="261" t="s">
        <v>423</v>
      </c>
      <c r="C121" s="250">
        <v>2</v>
      </c>
      <c r="D121" s="251">
        <v>12</v>
      </c>
      <c r="E121" s="261" t="s">
        <v>419</v>
      </c>
      <c r="F121" s="261" t="s">
        <v>420</v>
      </c>
      <c r="G121" s="252" t="s">
        <v>418</v>
      </c>
      <c r="H121" s="247" t="s">
        <v>418</v>
      </c>
      <c r="I121" s="247" t="s">
        <v>418</v>
      </c>
      <c r="J121" s="262"/>
      <c r="M121" s="12"/>
    </row>
    <row r="122" spans="1:13">
      <c r="A122" s="263" t="s">
        <v>559</v>
      </c>
      <c r="B122" s="261" t="s">
        <v>423</v>
      </c>
      <c r="C122" s="250">
        <v>2</v>
      </c>
      <c r="D122" s="251">
        <v>10</v>
      </c>
      <c r="E122" s="261" t="s">
        <v>419</v>
      </c>
      <c r="F122" s="261" t="s">
        <v>418</v>
      </c>
      <c r="G122" s="252" t="s">
        <v>418</v>
      </c>
      <c r="H122" s="247" t="s">
        <v>418</v>
      </c>
      <c r="I122" s="247" t="s">
        <v>418</v>
      </c>
      <c r="J122" s="262" t="s">
        <v>454</v>
      </c>
      <c r="M122" s="12"/>
    </row>
    <row r="123" spans="1:13">
      <c r="A123" s="263" t="s">
        <v>560</v>
      </c>
      <c r="B123" s="261" t="s">
        <v>423</v>
      </c>
      <c r="C123" s="250" t="s">
        <v>418</v>
      </c>
      <c r="D123" s="251">
        <v>10</v>
      </c>
      <c r="E123" s="261" t="s">
        <v>419</v>
      </c>
      <c r="F123" s="261" t="s">
        <v>420</v>
      </c>
      <c r="G123" s="252" t="s">
        <v>418</v>
      </c>
      <c r="H123" s="247" t="s">
        <v>418</v>
      </c>
      <c r="I123" s="247" t="s">
        <v>418</v>
      </c>
      <c r="J123" s="262"/>
      <c r="M123" s="12"/>
    </row>
    <row r="124" spans="1:13">
      <c r="A124" s="263" t="s">
        <v>561</v>
      </c>
      <c r="B124" s="261" t="s">
        <v>418</v>
      </c>
      <c r="C124" s="250">
        <v>2</v>
      </c>
      <c r="D124" s="251">
        <v>6</v>
      </c>
      <c r="E124" s="261" t="s">
        <v>418</v>
      </c>
      <c r="F124" s="261" t="s">
        <v>420</v>
      </c>
      <c r="G124" s="252" t="s">
        <v>562</v>
      </c>
      <c r="H124" s="247">
        <v>70</v>
      </c>
      <c r="I124" s="262">
        <v>75</v>
      </c>
      <c r="J124" s="262"/>
      <c r="M124" s="12"/>
    </row>
    <row r="125" spans="1:13">
      <c r="A125" s="264" t="s">
        <v>563</v>
      </c>
      <c r="B125" s="261" t="s">
        <v>418</v>
      </c>
      <c r="C125" s="250">
        <v>2</v>
      </c>
      <c r="D125" s="251">
        <v>6</v>
      </c>
      <c r="E125" s="261" t="s">
        <v>418</v>
      </c>
      <c r="F125" s="261" t="s">
        <v>418</v>
      </c>
      <c r="G125" s="252" t="s">
        <v>424</v>
      </c>
      <c r="H125" s="247">
        <v>72</v>
      </c>
      <c r="I125" s="262">
        <v>78</v>
      </c>
      <c r="J125" s="262"/>
      <c r="M125" s="12"/>
    </row>
    <row r="126" spans="1:13">
      <c r="A126" s="263" t="s">
        <v>71</v>
      </c>
      <c r="B126" s="261" t="s">
        <v>404</v>
      </c>
      <c r="C126" s="250" t="s">
        <v>404</v>
      </c>
      <c r="D126" s="251" t="s">
        <v>404</v>
      </c>
      <c r="E126" s="261" t="s">
        <v>404</v>
      </c>
      <c r="F126" s="261" t="s">
        <v>404</v>
      </c>
      <c r="G126" s="252" t="s">
        <v>404</v>
      </c>
      <c r="H126" s="262" t="s">
        <v>404</v>
      </c>
      <c r="I126" s="262" t="s">
        <v>404</v>
      </c>
      <c r="J126" s="262"/>
      <c r="M126" s="12"/>
    </row>
    <row r="127" spans="1:13">
      <c r="A127" s="264" t="s">
        <v>564</v>
      </c>
      <c r="B127" s="261" t="s">
        <v>427</v>
      </c>
      <c r="C127" s="250">
        <v>3</v>
      </c>
      <c r="D127" s="251">
        <v>15</v>
      </c>
      <c r="E127" s="261" t="s">
        <v>418</v>
      </c>
      <c r="F127" s="261" t="s">
        <v>420</v>
      </c>
      <c r="G127" s="252" t="s">
        <v>424</v>
      </c>
      <c r="H127" s="262">
        <v>70</v>
      </c>
      <c r="I127" s="262">
        <v>75</v>
      </c>
      <c r="J127" s="262"/>
      <c r="M127" s="12"/>
    </row>
    <row r="128" spans="1:13">
      <c r="M128" s="12"/>
    </row>
    <row r="129" spans="13:13">
      <c r="M129" s="12"/>
    </row>
    <row r="130" spans="13:13">
      <c r="M130" s="12"/>
    </row>
    <row r="131" spans="13:13">
      <c r="M131" s="12"/>
    </row>
  </sheetData>
  <sortState xmlns:xlrd2="http://schemas.microsoft.com/office/spreadsheetml/2017/richdata2" ref="A2:I132">
    <sortCondition ref="A2:A132"/>
  </sortState>
  <phoneticPr fontId="0" type="noConversion"/>
  <hyperlinks>
    <hyperlink ref="A13" r:id="rId1" location="clean_ing" display="https://up.codes/viewer/california/ca-mechanical-code-2022/chapter/2/definitions - clean_ing" xr:uid="{95CDA9FD-FA84-FA4F-BC65-7F49FA7A1A62}"/>
    <hyperlink ref="A14" r:id="rId2" location="clean_ing" display="https://up.codes/viewer/california/ca-mechanical-code-2022/chapter/2/definitions - clean_ing" xr:uid="{C13121A4-FFD6-CF4D-87ED-E06733C7910A}"/>
    <hyperlink ref="A24" r:id="rId3" location="department" display="https://up.codes/viewer/california/ca-mechanical-code-2022/chapter/2/definitions - department" xr:uid="{B541B4C5-265F-3D47-B6E7-7E1E336F23CC}"/>
    <hyperlink ref="A39" r:id="rId4" location="closet" display="https://up.codes/viewer/california/ca-mechanical-code-2022/chapter/2/definitions - closet" xr:uid="{558AAA58-EBD4-8D4B-A4C5-3B0985AC8D06}"/>
    <hyperlink ref="A112" r:id="rId5" location="equipment" display="https://up.codes/viewer/california/ca-mechanical-code-2022/chapter/2/definitions - equipment" xr:uid="{5EE138BF-BCB6-6141-BF5B-4936B44B64C6}"/>
  </hyperlinks>
  <printOptions verticalCentered="1"/>
  <pageMargins left="0.97" right="0.47" top="0.62" bottom="0.51" header="0.41" footer="0.32"/>
  <pageSetup paperSize="3" scale="94" orientation="landscape" r:id="rId6"/>
  <headerFooter alignWithMargins="0">
    <oddFooter>&amp;L&amp;"Arial Narrow,Regular"&amp;6* Refer to UMC Table 4-A for exact information&amp;R&amp;"Arial Narrow,Regular"&amp;8&amp;D</oddFooter>
  </headerFooter>
  <tableParts count="2">
    <tablePart r:id="rId7"/>
    <tablePart r:id="rId8"/>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C5B1A-CD98-47F6-B83C-A7B472EB85D4}">
  <sheetPr codeName="Sheet5">
    <tabColor indexed="43"/>
  </sheetPr>
  <dimension ref="B5:I51"/>
  <sheetViews>
    <sheetView topLeftCell="A14" zoomScale="115" zoomScaleNormal="115" workbookViewId="0">
      <selection activeCell="F26" sqref="F26"/>
    </sheetView>
  </sheetViews>
  <sheetFormatPr defaultColWidth="8.88671875" defaultRowHeight="13.2"/>
  <cols>
    <col min="2" max="2" width="18.44140625" bestFit="1" customWidth="1"/>
    <col min="4" max="4" width="22.33203125" bestFit="1" customWidth="1"/>
    <col min="5" max="5" width="10.44140625" bestFit="1" customWidth="1"/>
    <col min="7" max="7" width="41.44140625" bestFit="1" customWidth="1"/>
    <col min="8" max="8" width="63.44140625" style="88" customWidth="1"/>
    <col min="9" max="9" width="69.6640625" customWidth="1"/>
  </cols>
  <sheetData>
    <row r="5" spans="2:9">
      <c r="B5" s="11" t="s">
        <v>565</v>
      </c>
      <c r="G5" s="528" t="s">
        <v>566</v>
      </c>
      <c r="H5" s="528"/>
      <c r="I5" s="528"/>
    </row>
    <row r="6" spans="2:9">
      <c r="G6" s="11" t="s">
        <v>567</v>
      </c>
      <c r="H6" s="87" t="s">
        <v>568</v>
      </c>
      <c r="I6" s="11" t="s">
        <v>48</v>
      </c>
    </row>
    <row r="7" spans="2:9" ht="13.8">
      <c r="B7" s="529" t="s">
        <v>731</v>
      </c>
      <c r="C7" s="530"/>
      <c r="D7" s="530"/>
      <c r="E7" s="530"/>
      <c r="G7" s="11" t="s">
        <v>569</v>
      </c>
      <c r="H7" s="87" t="s">
        <v>570</v>
      </c>
      <c r="I7" s="11" t="s">
        <v>571</v>
      </c>
    </row>
    <row r="8" spans="2:9" ht="13.8">
      <c r="B8" s="5" t="s">
        <v>730</v>
      </c>
      <c r="C8" s="5" t="s">
        <v>49</v>
      </c>
      <c r="D8" s="6" t="s">
        <v>572</v>
      </c>
      <c r="E8" s="6" t="s">
        <v>573</v>
      </c>
      <c r="G8" s="11" t="s">
        <v>574</v>
      </c>
      <c r="H8" s="87" t="s">
        <v>575</v>
      </c>
      <c r="I8" s="11" t="s">
        <v>576</v>
      </c>
    </row>
    <row r="9" spans="2:9" ht="26.4">
      <c r="B9" s="4">
        <v>45</v>
      </c>
      <c r="C9" s="4">
        <v>1</v>
      </c>
      <c r="D9" s="7">
        <v>6</v>
      </c>
      <c r="E9" s="7">
        <v>30</v>
      </c>
      <c r="G9" t="s">
        <v>577</v>
      </c>
      <c r="I9" s="88" t="s">
        <v>578</v>
      </c>
    </row>
    <row r="10" spans="2:9" ht="26.4">
      <c r="B10" s="4">
        <v>90</v>
      </c>
      <c r="C10" s="4">
        <v>400</v>
      </c>
      <c r="D10" s="7">
        <v>8</v>
      </c>
      <c r="E10" s="7">
        <v>30</v>
      </c>
      <c r="G10" t="s">
        <v>579</v>
      </c>
      <c r="I10" s="88" t="s">
        <v>580</v>
      </c>
    </row>
    <row r="11" spans="2:9" ht="26.4">
      <c r="B11" s="4">
        <v>145</v>
      </c>
      <c r="C11" s="4">
        <v>700</v>
      </c>
      <c r="D11" s="7">
        <v>10</v>
      </c>
      <c r="E11" s="7">
        <v>35</v>
      </c>
      <c r="G11" t="s">
        <v>581</v>
      </c>
      <c r="I11" s="88" t="s">
        <v>582</v>
      </c>
    </row>
    <row r="12" spans="2:9" ht="26.4">
      <c r="B12" s="4">
        <v>190</v>
      </c>
      <c r="C12" s="4">
        <v>1000</v>
      </c>
      <c r="D12" s="7">
        <v>12</v>
      </c>
      <c r="E12" s="7">
        <v>45</v>
      </c>
      <c r="G12" t="s">
        <v>583</v>
      </c>
      <c r="I12" s="88" t="s">
        <v>584</v>
      </c>
    </row>
    <row r="13" spans="2:9" ht="26.4">
      <c r="B13" s="4">
        <v>300</v>
      </c>
      <c r="C13" s="4">
        <v>1500</v>
      </c>
      <c r="D13" s="7">
        <v>14</v>
      </c>
      <c r="E13" s="7">
        <v>55</v>
      </c>
      <c r="G13" t="s">
        <v>585</v>
      </c>
      <c r="I13" s="88" t="s">
        <v>586</v>
      </c>
    </row>
    <row r="14" spans="2:9" ht="27" thickBot="1">
      <c r="B14" s="8">
        <v>385</v>
      </c>
      <c r="C14" s="8">
        <v>2100</v>
      </c>
      <c r="D14" s="9">
        <v>16</v>
      </c>
      <c r="E14" s="9">
        <v>60</v>
      </c>
      <c r="G14" t="s">
        <v>587</v>
      </c>
      <c r="I14" s="88" t="s">
        <v>588</v>
      </c>
    </row>
    <row r="15" spans="2:9">
      <c r="G15" t="s">
        <v>589</v>
      </c>
      <c r="I15" s="88" t="s">
        <v>590</v>
      </c>
    </row>
    <row r="16" spans="2:9" ht="26.4">
      <c r="B16" s="527" t="s">
        <v>591</v>
      </c>
      <c r="C16" s="527"/>
      <c r="D16" s="527"/>
      <c r="E16" s="527"/>
      <c r="F16" s="527"/>
      <c r="G16" t="s">
        <v>592</v>
      </c>
      <c r="I16" s="88" t="s">
        <v>593</v>
      </c>
    </row>
    <row r="17" spans="2:9">
      <c r="B17" s="85" t="s">
        <v>594</v>
      </c>
      <c r="C17" s="86" cm="1">
        <f t="array" ref="C17">GetStandardAtmPressure(INPUT_OUTPUTS!$G$6)</f>
        <v>14.087768181067434</v>
      </c>
      <c r="D17" s="85" t="s">
        <v>595</v>
      </c>
      <c r="E17" s="85"/>
      <c r="F17" s="85"/>
      <c r="G17" t="s">
        <v>596</v>
      </c>
      <c r="I17" s="88" t="s">
        <v>597</v>
      </c>
    </row>
    <row r="18" spans="2:9" ht="26.4">
      <c r="B18" s="85" t="s">
        <v>598</v>
      </c>
      <c r="C18" s="86" cm="1">
        <f t="array" ref="C18">GetDryAirDensity(75,$C$17)</f>
        <v>7.1118804585757769E-2</v>
      </c>
      <c r="D18" s="85" t="s">
        <v>599</v>
      </c>
      <c r="E18" s="85"/>
      <c r="F18" s="85"/>
      <c r="G18" t="s">
        <v>600</v>
      </c>
      <c r="I18" s="88" t="s">
        <v>601</v>
      </c>
    </row>
    <row r="19" spans="2:9" ht="26.4">
      <c r="B19" s="85" t="s">
        <v>602</v>
      </c>
      <c r="C19" s="86">
        <f>C18*60*0.24</f>
        <v>1.0241107860349119</v>
      </c>
      <c r="D19" s="85"/>
      <c r="E19" s="85"/>
      <c r="F19" s="85"/>
      <c r="G19" t="s">
        <v>603</v>
      </c>
      <c r="I19" s="88" t="s">
        <v>604</v>
      </c>
    </row>
    <row r="20" spans="2:9">
      <c r="B20" s="85" t="s">
        <v>605</v>
      </c>
      <c r="C20" s="86">
        <f>$C$18*60</f>
        <v>4.267128275145466</v>
      </c>
      <c r="D20" s="85"/>
      <c r="E20" s="85"/>
      <c r="F20" s="85"/>
      <c r="G20" t="s">
        <v>606</v>
      </c>
      <c r="I20" s="88" t="s">
        <v>607</v>
      </c>
    </row>
    <row r="21" spans="2:9" ht="26.4">
      <c r="G21" t="s">
        <v>608</v>
      </c>
      <c r="I21" s="88" t="s">
        <v>609</v>
      </c>
    </row>
    <row r="22" spans="2:9" ht="26.4">
      <c r="B22" s="85" t="s">
        <v>742</v>
      </c>
      <c r="E22" s="11" t="s">
        <v>108</v>
      </c>
      <c r="F22" s="11" t="s">
        <v>2709</v>
      </c>
      <c r="G22" t="s">
        <v>610</v>
      </c>
      <c r="I22" s="88" t="s">
        <v>611</v>
      </c>
    </row>
    <row r="23" spans="2:9">
      <c r="B23" s="11" t="s">
        <v>743</v>
      </c>
      <c r="E23" s="11" t="s">
        <v>46</v>
      </c>
      <c r="F23" s="11" t="s">
        <v>2710</v>
      </c>
      <c r="G23" t="s">
        <v>612</v>
      </c>
      <c r="I23" s="88" t="s">
        <v>613</v>
      </c>
    </row>
    <row r="24" spans="2:9">
      <c r="B24" s="11" t="s">
        <v>744</v>
      </c>
      <c r="E24" s="11" t="s">
        <v>404</v>
      </c>
      <c r="G24" t="s">
        <v>614</v>
      </c>
      <c r="I24" s="88" t="s">
        <v>615</v>
      </c>
    </row>
    <row r="25" spans="2:9">
      <c r="G25" t="s">
        <v>616</v>
      </c>
      <c r="I25" s="88" t="s">
        <v>617</v>
      </c>
    </row>
    <row r="26" spans="2:9" ht="26.4">
      <c r="G26" t="s">
        <v>618</v>
      </c>
      <c r="I26" s="88" t="s">
        <v>619</v>
      </c>
    </row>
    <row r="27" spans="2:9">
      <c r="G27" t="s">
        <v>620</v>
      </c>
      <c r="I27" s="88" t="s">
        <v>621</v>
      </c>
    </row>
    <row r="28" spans="2:9">
      <c r="D28" s="11"/>
      <c r="G28" t="s">
        <v>622</v>
      </c>
      <c r="I28" s="88" t="s">
        <v>623</v>
      </c>
    </row>
    <row r="29" spans="2:9">
      <c r="B29" s="72" t="s">
        <v>1061</v>
      </c>
      <c r="C29" s="72" t="s">
        <v>1</v>
      </c>
      <c r="D29" s="72" t="s">
        <v>1062</v>
      </c>
      <c r="G29" t="s">
        <v>624</v>
      </c>
      <c r="I29" s="88" t="s">
        <v>625</v>
      </c>
    </row>
    <row r="30" spans="2:9">
      <c r="B30" s="367">
        <v>0.75</v>
      </c>
      <c r="C30" s="70">
        <v>3.6</v>
      </c>
      <c r="D30" s="70">
        <v>3.4</v>
      </c>
      <c r="G30" t="s">
        <v>626</v>
      </c>
      <c r="I30" s="88" t="s">
        <v>627</v>
      </c>
    </row>
    <row r="31" spans="2:9">
      <c r="B31" s="70">
        <v>1</v>
      </c>
      <c r="C31" s="70">
        <v>7.4</v>
      </c>
      <c r="D31" s="70">
        <v>6.8</v>
      </c>
      <c r="G31" t="s">
        <v>628</v>
      </c>
      <c r="I31" s="88" t="s">
        <v>629</v>
      </c>
    </row>
    <row r="32" spans="2:9">
      <c r="B32" s="367">
        <v>1.25</v>
      </c>
      <c r="C32" s="70">
        <v>13.2</v>
      </c>
      <c r="D32" s="70">
        <v>11.9</v>
      </c>
      <c r="G32" t="s">
        <v>630</v>
      </c>
      <c r="I32" s="88" t="s">
        <v>631</v>
      </c>
    </row>
    <row r="33" spans="2:9">
      <c r="B33" s="367">
        <v>1.5</v>
      </c>
      <c r="C33" s="70">
        <v>21</v>
      </c>
      <c r="D33" s="70">
        <v>19</v>
      </c>
      <c r="G33" t="s">
        <v>632</v>
      </c>
      <c r="I33" s="88" t="s">
        <v>633</v>
      </c>
    </row>
    <row r="34" spans="2:9">
      <c r="B34" s="70">
        <v>2</v>
      </c>
      <c r="C34" s="70">
        <v>44</v>
      </c>
      <c r="D34" s="70">
        <v>39</v>
      </c>
      <c r="G34" t="s">
        <v>634</v>
      </c>
      <c r="I34" s="88" t="s">
        <v>635</v>
      </c>
    </row>
    <row r="35" spans="2:9">
      <c r="B35" s="367">
        <v>2.5</v>
      </c>
      <c r="C35" s="70">
        <v>79</v>
      </c>
      <c r="D35" s="70">
        <v>59</v>
      </c>
      <c r="G35" t="s">
        <v>636</v>
      </c>
      <c r="I35" s="88" t="s">
        <v>637</v>
      </c>
    </row>
    <row r="36" spans="2:9">
      <c r="B36" s="70">
        <v>3</v>
      </c>
      <c r="C36" s="70">
        <v>127</v>
      </c>
      <c r="D36" s="70">
        <v>85</v>
      </c>
      <c r="G36" t="s">
        <v>638</v>
      </c>
      <c r="I36" s="88" t="s">
        <v>639</v>
      </c>
    </row>
    <row r="37" spans="2:9">
      <c r="B37" s="70">
        <v>4</v>
      </c>
      <c r="C37" s="70">
        <v>224</v>
      </c>
      <c r="D37" s="70">
        <v>149</v>
      </c>
      <c r="G37" t="s">
        <v>640</v>
      </c>
      <c r="I37" s="88" t="s">
        <v>641</v>
      </c>
    </row>
    <row r="38" spans="2:9">
      <c r="B38" s="70">
        <v>6</v>
      </c>
      <c r="C38" s="70">
        <v>500</v>
      </c>
      <c r="D38" s="70">
        <v>335</v>
      </c>
      <c r="G38" t="s">
        <v>642</v>
      </c>
      <c r="I38" s="88" t="s">
        <v>643</v>
      </c>
    </row>
    <row r="39" spans="2:9" ht="26.4">
      <c r="G39" t="s">
        <v>644</v>
      </c>
      <c r="I39" s="88" t="s">
        <v>645</v>
      </c>
    </row>
    <row r="40" spans="2:9" ht="39.6">
      <c r="G40" t="s">
        <v>646</v>
      </c>
      <c r="I40" s="88" t="s">
        <v>647</v>
      </c>
    </row>
    <row r="41" spans="2:9">
      <c r="G41" t="s">
        <v>648</v>
      </c>
      <c r="I41" s="88" t="s">
        <v>649</v>
      </c>
    </row>
    <row r="42" spans="2:9" ht="26.4">
      <c r="G42" t="s">
        <v>650</v>
      </c>
      <c r="I42" s="88" t="s">
        <v>651</v>
      </c>
    </row>
    <row r="43" spans="2:9" ht="26.4">
      <c r="G43" t="s">
        <v>652</v>
      </c>
      <c r="I43" s="88" t="s">
        <v>653</v>
      </c>
    </row>
    <row r="44" spans="2:9">
      <c r="G44" t="s">
        <v>654</v>
      </c>
      <c r="I44" s="88" t="s">
        <v>655</v>
      </c>
    </row>
    <row r="45" spans="2:9">
      <c r="G45" t="s">
        <v>656</v>
      </c>
      <c r="I45" s="88" t="s">
        <v>657</v>
      </c>
    </row>
    <row r="46" spans="2:9">
      <c r="G46" t="s">
        <v>658</v>
      </c>
      <c r="I46" s="88" t="s">
        <v>659</v>
      </c>
    </row>
    <row r="47" spans="2:9" ht="26.4">
      <c r="G47" t="s">
        <v>660</v>
      </c>
      <c r="I47" s="88" t="s">
        <v>661</v>
      </c>
    </row>
    <row r="48" spans="2:9">
      <c r="G48" t="s">
        <v>662</v>
      </c>
      <c r="I48" s="88" t="s">
        <v>663</v>
      </c>
    </row>
    <row r="49" spans="7:9" ht="39.6">
      <c r="G49" t="s">
        <v>664</v>
      </c>
      <c r="I49" s="88" t="s">
        <v>665</v>
      </c>
    </row>
    <row r="50" spans="7:9" ht="39.6">
      <c r="G50" t="s">
        <v>666</v>
      </c>
      <c r="I50" s="88" t="s">
        <v>667</v>
      </c>
    </row>
    <row r="51" spans="7:9" ht="39.6">
      <c r="G51" t="s">
        <v>668</v>
      </c>
      <c r="I51" s="88" t="s">
        <v>669</v>
      </c>
    </row>
  </sheetData>
  <mergeCells count="3">
    <mergeCell ref="B16:F16"/>
    <mergeCell ref="G5:I5"/>
    <mergeCell ref="B7:E7"/>
  </mergeCells>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 � � � � � � � � � � � � � � � � � � � � � � � � � � � � � � � � � � � � � � � � � � � � � � � � � � � 
</file>

<file path=customXml/item3.xml>�� 
</file>

<file path=customXml/item4.xml>�� � � � � � � � � � � � � � � � � � � � � � � � � � �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 � � � � � � � � � � � � � � � � � � � � � � � � � � � � � � � � � � � � � � � � � � � � � � � � � � � � � � � � � � � � � � � � � � � � � � � � � � � � � � � � � � � � � � � � � � � � � � � � � � � � � � �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0F7AA644-22B3-4EF8-B9C4-D3F5557CFEE3}">
  <ds:schemaRefs/>
</ds:datastoreItem>
</file>

<file path=customXml/itemProps2.xml><?xml version="1.0" encoding="utf-8"?>
<ds:datastoreItem xmlns:ds="http://schemas.openxmlformats.org/officeDocument/2006/customXml" ds:itemID="{EB08F863-D170-47EA-A84C-83549087351D}">
  <ds:schemaRefs/>
</ds:datastoreItem>
</file>

<file path=customXml/itemProps3.xml><?xml version="1.0" encoding="utf-8"?>
<ds:datastoreItem xmlns:ds="http://schemas.openxmlformats.org/officeDocument/2006/customXml" ds:itemID="{6D507B4B-C9ED-44F3-8037-6886F3127BF6}">
  <ds:schemaRefs/>
</ds:datastoreItem>
</file>

<file path=customXml/itemProps4.xml><?xml version="1.0" encoding="utf-8"?>
<ds:datastoreItem xmlns:ds="http://schemas.openxmlformats.org/officeDocument/2006/customXml" ds:itemID="{B9C24CED-5D5E-4E5B-B592-42D9FEBCEE78}">
  <ds:schemaRefs/>
</ds:datastoreItem>
</file>

<file path=customXml/itemProps5.xml><?xml version="1.0" encoding="utf-8"?>
<ds:datastoreItem xmlns:ds="http://schemas.openxmlformats.org/officeDocument/2006/customXml" ds:itemID="{2ACA1A40-4F6D-4B0C-91AA-28C30B17735D}">
  <ds:schemaRefs/>
</ds:datastoreItem>
</file>

<file path=customXml/itemProps6.xml><?xml version="1.0" encoding="utf-8"?>
<ds:datastoreItem xmlns:ds="http://schemas.openxmlformats.org/officeDocument/2006/customXml" ds:itemID="{E99A482B-E5E1-49A2-BB12-907608BC0E09}">
  <ds:schemaRefs/>
</ds:datastoreItem>
</file>

<file path=customXml/itemProps7.xml><?xml version="1.0" encoding="utf-8"?>
<ds:datastoreItem xmlns:ds="http://schemas.openxmlformats.org/officeDocument/2006/customXml" ds:itemID="{92114E93-BF99-481B-8587-DAE6BA6DE52A}">
  <ds:schemaRefs/>
</ds:datastoreItem>
</file>

<file path=customXml/itemProps8.xml><?xml version="1.0" encoding="utf-8"?>
<ds:datastoreItem xmlns:ds="http://schemas.openxmlformats.org/officeDocument/2006/customXml" ds:itemID="{E75927D6-4CFF-4134-B821-644F60184EB2}">
  <ds:schemaRefs/>
</ds:datastoreItem>
</file>

<file path=customXml/itemProps9.xml><?xml version="1.0" encoding="utf-8"?>
<ds:datastoreItem xmlns:ds="http://schemas.openxmlformats.org/officeDocument/2006/customXml" ds:itemID="{73E72D33-8CDB-48B3-81B1-83AB753555E6}">
  <ds:schemaRefs/>
</ds:datastoreItem>
</file>

<file path=customXml/itemProps10.xml><?xml version="1.0" encoding="utf-8"?>
<ds:datastoreItem xmlns:ds="http://schemas.openxmlformats.org/officeDocument/2006/customXml" ds:itemID="{D850471A-0CDE-4413-A0DB-4B7F901D2BD9}">
  <ds:schemaRefs/>
</ds:datastoreItem>
</file>

<file path=customXml/itemProps11.xml><?xml version="1.0" encoding="utf-8"?>
<ds:datastoreItem xmlns:ds="http://schemas.openxmlformats.org/officeDocument/2006/customXml" ds:itemID="{9EB7E48D-2BC1-483D-AA97-799BE1E01A1B}">
  <ds:schemaRefs>
    <ds:schemaRef ds:uri="http://schemas.microsoft.com/DataMashup"/>
  </ds:schemaRefs>
</ds:datastoreItem>
</file>

<file path=customXml/itemProps12.xml><?xml version="1.0" encoding="utf-8"?>
<ds:datastoreItem xmlns:ds="http://schemas.openxmlformats.org/officeDocument/2006/customXml" ds:itemID="{CB84C39A-D797-4B6B-905F-6C86027DD256}">
  <ds:schemaRefs/>
</ds:datastoreItem>
</file>

<file path=customXml/itemProps13.xml><?xml version="1.0" encoding="utf-8"?>
<ds:datastoreItem xmlns:ds="http://schemas.openxmlformats.org/officeDocument/2006/customXml" ds:itemID="{7202CCF7-04C4-426D-A15B-FCB4AAD73971}">
  <ds:schemaRefs/>
</ds:datastoreItem>
</file>

<file path=customXml/itemProps14.xml><?xml version="1.0" encoding="utf-8"?>
<ds:datastoreItem xmlns:ds="http://schemas.openxmlformats.org/officeDocument/2006/customXml" ds:itemID="{3F31C53F-DFA4-4BD6-960C-02D3696858DE}">
  <ds:schemaRefs/>
</ds:datastoreItem>
</file>

<file path=customXml/itemProps15.xml><?xml version="1.0" encoding="utf-8"?>
<ds:datastoreItem xmlns:ds="http://schemas.openxmlformats.org/officeDocument/2006/customXml" ds:itemID="{C6A71342-598D-44A1-871B-880BDE6775E5}">
  <ds:schemaRefs/>
</ds:datastoreItem>
</file>

<file path=customXml/itemProps16.xml><?xml version="1.0" encoding="utf-8"?>
<ds:datastoreItem xmlns:ds="http://schemas.openxmlformats.org/officeDocument/2006/customXml" ds:itemID="{266B7FBF-DD56-45E8-82C2-2D120A01DE6F}">
  <ds:schemaRefs/>
</ds:datastoreItem>
</file>

<file path=customXml/itemProps17.xml><?xml version="1.0" encoding="utf-8"?>
<ds:datastoreItem xmlns:ds="http://schemas.openxmlformats.org/officeDocument/2006/customXml" ds:itemID="{B879EA12-6ED4-4302-8229-16FB2C15B211}">
  <ds:schemaRefs/>
</ds:datastoreItem>
</file>

<file path=customXml/itemProps18.xml><?xml version="1.0" encoding="utf-8"?>
<ds:datastoreItem xmlns:ds="http://schemas.openxmlformats.org/officeDocument/2006/customXml" ds:itemID="{1CB8CE2C-68EE-453A-B6B9-954186C7885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24</vt:i4>
      </vt:variant>
    </vt:vector>
  </HeadingPairs>
  <TitlesOfParts>
    <vt:vector size="48" baseType="lpstr">
      <vt:lpstr>INPUT_OUTPUTS</vt:lpstr>
      <vt:lpstr>Humidifier_Schedule</vt:lpstr>
      <vt:lpstr>AshraeTable4a</vt:lpstr>
      <vt:lpstr>CAV_SCHEDULES</vt:lpstr>
      <vt:lpstr>VA_Rooms_Calcs</vt:lpstr>
      <vt:lpstr>62.1_MULTI_ZONE</vt:lpstr>
      <vt:lpstr>VAV_SCHEDULES</vt:lpstr>
      <vt:lpstr>Room Temperature</vt:lpstr>
      <vt:lpstr>ROOM QC</vt:lpstr>
      <vt:lpstr>AH1</vt:lpstr>
      <vt:lpstr>AHU_SCHEDULES</vt:lpstr>
      <vt:lpstr>VA_Room_Data</vt:lpstr>
      <vt:lpstr>EF_Schedules</vt:lpstr>
      <vt:lpstr>Sequences</vt:lpstr>
      <vt:lpstr>HCAI_Fan_Power</vt:lpstr>
      <vt:lpstr>62.1_SINGLE_ZONE</vt:lpstr>
      <vt:lpstr>Title_24</vt:lpstr>
      <vt:lpstr>CH_and_Boiler_Schedule </vt:lpstr>
      <vt:lpstr>Misc_Rooms</vt:lpstr>
      <vt:lpstr>FCU_SCHEDULES</vt:lpstr>
      <vt:lpstr>CALIFORNIA_TABLE</vt:lpstr>
      <vt:lpstr>ASHRAE Table</vt:lpstr>
      <vt:lpstr>UMC Table 4-A</vt:lpstr>
      <vt:lpstr>DO NOT TOUCH</vt:lpstr>
      <vt:lpstr>Sequences!_Ref38822284</vt:lpstr>
      <vt:lpstr>Sequences!_Ref440015150</vt:lpstr>
      <vt:lpstr>Sequences!_Ref440015169</vt:lpstr>
      <vt:lpstr>Sequences!_Ref440033356</vt:lpstr>
      <vt:lpstr>Sequences!_Ref73449741</vt:lpstr>
      <vt:lpstr>Sequences!_Ref73449755</vt:lpstr>
      <vt:lpstr>Sequences!_Ref73450375</vt:lpstr>
      <vt:lpstr>Sequences!_Ref73450525</vt:lpstr>
      <vt:lpstr>Sequences!_Ref73451565</vt:lpstr>
      <vt:lpstr>Sequences!_Ref73451586</vt:lpstr>
      <vt:lpstr>'AH1'!AHU_1AC_AV</vt:lpstr>
      <vt:lpstr>AshraeTable4a!AHU_1AC_AV</vt:lpstr>
      <vt:lpstr>'62.1_MULTI_ZONE'!AHUs</vt:lpstr>
      <vt:lpstr>VA_Rooms_Calcs!AHUs</vt:lpstr>
      <vt:lpstr>'AH1'!Print_Area</vt:lpstr>
      <vt:lpstr>AHU_SCHEDULES!Print_Area</vt:lpstr>
      <vt:lpstr>AshraeTable4a!Print_Area</vt:lpstr>
      <vt:lpstr>FCU_SCHEDULES!Print_Area</vt:lpstr>
      <vt:lpstr>'UMC Table 4-A'!Print_Area</vt:lpstr>
      <vt:lpstr>VA_Room_Data!Print_Area</vt:lpstr>
      <vt:lpstr>'AH1'!Print_Titles</vt:lpstr>
      <vt:lpstr>AshraeTable4a!Print_Titles</vt:lpstr>
      <vt:lpstr>'UMC Table 4-A'!Print_Titles</vt:lpstr>
      <vt:lpstr>table_4_a</vt:lpstr>
    </vt:vector>
  </TitlesOfParts>
  <Manager/>
  <Company>GEM ENGINEERING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 Pajouhesh</dc:creator>
  <cp:keywords/>
  <dc:description/>
  <cp:lastModifiedBy>Rushikesh Patil</cp:lastModifiedBy>
  <cp:revision/>
  <cp:lastPrinted>2024-08-27T03:27:04Z</cp:lastPrinted>
  <dcterms:created xsi:type="dcterms:W3CDTF">2001-05-17T15:02:58Z</dcterms:created>
  <dcterms:modified xsi:type="dcterms:W3CDTF">2025-04-07T23:38:07Z</dcterms:modified>
  <cp:category/>
  <cp:contentStatus/>
</cp:coreProperties>
</file>