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FD17087C-AD96-4D4D-91EB-E96D61623378}" xr6:coauthVersionLast="47" xr6:coauthVersionMax="47" xr10:uidLastSave="{00000000-0000-0000-0000-000000000000}"/>
  <bookViews>
    <workbookView xWindow="11424" yWindow="0" windowWidth="11712" windowHeight="13776" activeTab="8" xr2:uid="{00000000-000D-0000-FFFF-FFFF00000000}"/>
  </bookViews>
  <sheets>
    <sheet name="INPUT_OUTPUTS" sheetId="64" r:id="rId1"/>
    <sheet name="AshraeTable4a" sheetId="111" state="hidden" r:id="rId2"/>
    <sheet name="CAV_SCHEDULES" sheetId="129" state="hidden" r:id="rId3"/>
    <sheet name="62.1_MULTI_ZONE" sheetId="107" state="hidden" r:id="rId4"/>
    <sheet name="VAV_SCHEDULES" sheetId="120" state="hidden" r:id="rId5"/>
    <sheet name="Room Temperature" sheetId="119" state="hidden" r:id="rId6"/>
    <sheet name="AHU_SCHEDULES" sheetId="45" r:id="rId7"/>
    <sheet name="62.1_SINGLE_ZONE" sheetId="104" state="hidden" r:id="rId8"/>
    <sheet name="FCU_SCHEDULES" sheetId="118" r:id="rId9"/>
    <sheet name="CH_and_Boiler_Schedule " sheetId="124" state="hidden" r:id="rId10"/>
    <sheet name="Misc Rooms" sheetId="116" r:id="rId11"/>
    <sheet name="ASHRAE Table" sheetId="105" state="hidden" r:id="rId12"/>
    <sheet name="UMC Table 4-A" sheetId="37" state="hidden" r:id="rId13"/>
    <sheet name="DO NOT TOUCH" sheetId="63" state="hidden" r:id="rId14"/>
  </sheets>
  <functionGroups builtInGroupCount="19"/>
  <definedNames>
    <definedName name="_CAV1" localSheetId="10">#REF!</definedName>
    <definedName name="_CAV1">#REF!</definedName>
    <definedName name="_CAV1." localSheetId="1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1">CAV_SCHEDULES!$A$5:$M$6</definedName>
    <definedName name="AHU_1AC_AV">#REF!</definedName>
    <definedName name="AHUs" localSheetId="3">AHU_Schedules[TAG]</definedName>
    <definedName name="CAV_1A_SCHEDULE" localSheetId="1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>#REF!</definedName>
    <definedName name="_xlnm.Print_Area" localSheetId="6">AHU_SCHEDULES!$A$8:$BB$13</definedName>
    <definedName name="_xlnm.Print_Area" localSheetId="1">AshraeTable4a!$D$3:$W$5</definedName>
    <definedName name="_xlnm.Print_Area" localSheetId="8">FCU_SCHEDULES!$A$8:$AC$13</definedName>
    <definedName name="_xlnm.Print_Area" localSheetId="12">'UMC Table 4-A'!$A$1:$E$132</definedName>
    <definedName name="_xlnm.Print_Titles" localSheetId="1">AshraeTable4a!$3:$4</definedName>
    <definedName name="_xlnm.Print_Titles" localSheetId="12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16" l="1"/>
  <c r="K12" i="116"/>
  <c r="M12" i="116" s="1"/>
  <c r="L12" i="116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F17" i="107"/>
  <c r="AE17" i="107"/>
  <c r="AG17" i="107" s="1"/>
  <c r="AD17" i="107"/>
  <c r="AA17" i="107"/>
  <c r="P17" i="107"/>
  <c r="M17" i="107"/>
  <c r="Q17" i="107" s="1"/>
  <c r="L17" i="107"/>
  <c r="O17" i="107" s="1"/>
  <c r="K17" i="107"/>
  <c r="G17" i="107"/>
  <c r="AF16" i="107"/>
  <c r="AE16" i="107"/>
  <c r="AG16" i="107" s="1"/>
  <c r="AD16" i="107"/>
  <c r="AA16" i="107"/>
  <c r="P16" i="107"/>
  <c r="M16" i="107"/>
  <c r="L16" i="107"/>
  <c r="O16" i="107" s="1"/>
  <c r="K16" i="107"/>
  <c r="G16" i="107"/>
  <c r="AF15" i="107"/>
  <c r="AE15" i="107"/>
  <c r="AD15" i="107"/>
  <c r="AA15" i="107"/>
  <c r="P15" i="107"/>
  <c r="M15" i="107"/>
  <c r="Q15" i="107" s="1"/>
  <c r="L15" i="107"/>
  <c r="O15" i="107" s="1"/>
  <c r="K15" i="107"/>
  <c r="G15" i="107"/>
  <c r="AF14" i="107"/>
  <c r="AE14" i="107"/>
  <c r="AD14" i="107"/>
  <c r="AA14" i="107"/>
  <c r="P14" i="107"/>
  <c r="M14" i="107"/>
  <c r="L14" i="107"/>
  <c r="O14" i="107" s="1"/>
  <c r="K14" i="107"/>
  <c r="G14" i="107"/>
  <c r="AF13" i="107"/>
  <c r="AE13" i="107"/>
  <c r="AG13" i="107" s="1"/>
  <c r="AD13" i="107"/>
  <c r="AA13" i="107"/>
  <c r="P13" i="107"/>
  <c r="M13" i="107"/>
  <c r="Q13" i="107" s="1"/>
  <c r="L13" i="107"/>
  <c r="O13" i="107" s="1"/>
  <c r="K13" i="107"/>
  <c r="G13" i="107"/>
  <c r="AF12" i="107"/>
  <c r="AE12" i="107"/>
  <c r="AD12" i="107"/>
  <c r="AA12" i="107"/>
  <c r="P12" i="107"/>
  <c r="M12" i="107"/>
  <c r="L12" i="107"/>
  <c r="O12" i="107" s="1"/>
  <c r="K12" i="107"/>
  <c r="G12" i="107"/>
  <c r="AF11" i="107"/>
  <c r="AE11" i="107"/>
  <c r="AD11" i="107"/>
  <c r="AA11" i="107"/>
  <c r="P11" i="107"/>
  <c r="M11" i="107"/>
  <c r="Q11" i="107" s="1"/>
  <c r="L11" i="107"/>
  <c r="O11" i="107" s="1"/>
  <c r="K11" i="107"/>
  <c r="G11" i="107"/>
  <c r="AF10" i="107"/>
  <c r="AE10" i="107"/>
  <c r="AD10" i="107"/>
  <c r="AA10" i="107"/>
  <c r="P10" i="107"/>
  <c r="M10" i="107"/>
  <c r="Q10" i="107" s="1"/>
  <c r="L10" i="107"/>
  <c r="O10" i="107" s="1"/>
  <c r="K10" i="107"/>
  <c r="G10" i="107"/>
  <c r="AF9" i="107"/>
  <c r="AE9" i="107"/>
  <c r="AD9" i="107"/>
  <c r="AA9" i="107"/>
  <c r="P9" i="107"/>
  <c r="M9" i="107"/>
  <c r="L9" i="107"/>
  <c r="O9" i="107" s="1"/>
  <c r="K9" i="107"/>
  <c r="G9" i="107"/>
  <c r="AF8" i="107"/>
  <c r="AE8" i="107"/>
  <c r="AD8" i="107"/>
  <c r="AA8" i="107"/>
  <c r="P8" i="107"/>
  <c r="M8" i="107"/>
  <c r="Q8" i="107" s="1"/>
  <c r="L8" i="107"/>
  <c r="O8" i="107" s="1"/>
  <c r="K8" i="107"/>
  <c r="G8" i="107"/>
  <c r="U7" i="104"/>
  <c r="W7" i="104" s="1"/>
  <c r="U8" i="104"/>
  <c r="V7" i="104"/>
  <c r="V8" i="104"/>
  <c r="T7" i="104"/>
  <c r="T8" i="104"/>
  <c r="T6" i="104"/>
  <c r="AD6" i="107"/>
  <c r="AD7" i="107"/>
  <c r="AD5" i="107"/>
  <c r="AF7" i="107"/>
  <c r="AE7" i="107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AL6" i="111" a="1"/>
  <c r="X7" i="104" a="1"/>
  <c r="AL9" i="111" a="1"/>
  <c r="X8" i="104" a="1"/>
  <c r="X6" i="104" a="1"/>
  <c r="AL7" i="111" a="1"/>
  <c r="AL10" i="111" a="1"/>
  <c r="AL8" i="111" a="1"/>
  <c r="AL11" i="111" a="1"/>
  <c r="AL12" i="111" a="1"/>
  <c r="W8" i="104" l="1"/>
  <c r="AG15" i="107"/>
  <c r="AG12" i="107"/>
  <c r="AL12" i="111"/>
  <c r="AL11" i="111"/>
  <c r="AL6" i="111"/>
  <c r="AL9" i="111"/>
  <c r="AL8" i="111"/>
  <c r="AL7" i="111"/>
  <c r="AL10" i="111"/>
  <c r="AG11" i="107"/>
  <c r="AG9" i="107"/>
  <c r="AG14" i="107"/>
  <c r="V8" i="107"/>
  <c r="X8" i="107" s="1"/>
  <c r="N9" i="107"/>
  <c r="V10" i="107"/>
  <c r="X10" i="107" s="1"/>
  <c r="V11" i="107"/>
  <c r="X11" i="107" s="1"/>
  <c r="N12" i="107"/>
  <c r="N16" i="107"/>
  <c r="N14" i="107"/>
  <c r="Q14" i="107"/>
  <c r="V14" i="107" s="1"/>
  <c r="X14" i="107" s="1"/>
  <c r="Q12" i="107"/>
  <c r="V12" i="107" s="1"/>
  <c r="X12" i="107" s="1"/>
  <c r="N11" i="107"/>
  <c r="V13" i="107"/>
  <c r="X13" i="107" s="1"/>
  <c r="Q9" i="107"/>
  <c r="V9" i="107" s="1"/>
  <c r="X9" i="107" s="1"/>
  <c r="V15" i="107"/>
  <c r="X15" i="107" s="1"/>
  <c r="V17" i="107"/>
  <c r="X17" i="107" s="1"/>
  <c r="AG8" i="107"/>
  <c r="AG10" i="107"/>
  <c r="AG7" i="107"/>
  <c r="N17" i="107"/>
  <c r="N8" i="107"/>
  <c r="N10" i="107"/>
  <c r="N13" i="107"/>
  <c r="N15" i="107"/>
  <c r="Q16" i="107"/>
  <c r="V16" i="107" s="1"/>
  <c r="X16" i="107" s="1"/>
  <c r="X8" i="104"/>
  <c r="X7" i="104"/>
  <c r="X6" i="104"/>
  <c r="N7" i="107"/>
  <c r="Q7" i="107"/>
  <c r="V7" i="107" s="1"/>
  <c r="X7" i="107" s="1"/>
  <c r="AG6" i="107"/>
  <c r="N6" i="107"/>
  <c r="V6" i="107"/>
  <c r="X6" i="107" s="1"/>
  <c r="Q6" i="129"/>
  <c r="P6" i="129"/>
  <c r="N6" i="129"/>
  <c r="J6" i="129"/>
  <c r="I6" i="129"/>
  <c r="H6" i="129"/>
  <c r="G6" i="129"/>
  <c r="F6" i="129"/>
  <c r="P5" i="129"/>
  <c r="H5" i="129"/>
  <c r="G5" i="129"/>
  <c r="Z17" i="107" a="1"/>
  <c r="Z13" i="107" a="1"/>
  <c r="Z8" i="107" a="1"/>
  <c r="Z15" i="107" a="1"/>
  <c r="Z6" i="107" a="1"/>
  <c r="Z9" i="107" a="1"/>
  <c r="Z14" i="107" a="1"/>
  <c r="Z10" i="107" a="1"/>
  <c r="Z7" i="107" a="1"/>
  <c r="Z12" i="107" a="1"/>
  <c r="Z11" i="107" a="1"/>
  <c r="Z16" i="107" a="1"/>
  <c r="AM11" i="111" l="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Z9" i="107"/>
  <c r="Z11" i="107"/>
  <c r="Z14" i="107"/>
  <c r="Z16" i="107"/>
  <c r="Z12" i="107"/>
  <c r="Z13" i="107"/>
  <c r="Z15" i="107"/>
  <c r="Z10" i="107"/>
  <c r="Z8" i="107"/>
  <c r="Z17" i="107"/>
  <c r="Z7" i="107"/>
  <c r="Z6" i="107"/>
  <c r="AB6" i="107" s="1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W12" i="118"/>
  <c r="U12" i="118"/>
  <c r="T12" i="118"/>
  <c r="I12" i="118"/>
  <c r="H12" i="118"/>
  <c r="G12" i="118"/>
  <c r="J9" i="116"/>
  <c r="K9" i="116"/>
  <c r="L9" i="116"/>
  <c r="J10" i="116"/>
  <c r="K10" i="116"/>
  <c r="L10" i="116"/>
  <c r="J11" i="116"/>
  <c r="K11" i="116"/>
  <c r="L11" i="116"/>
  <c r="J13" i="116"/>
  <c r="K13" i="116"/>
  <c r="L13" i="116"/>
  <c r="J14" i="116"/>
  <c r="K14" i="116"/>
  <c r="L14" i="116"/>
  <c r="J15" i="116"/>
  <c r="K15" i="116"/>
  <c r="L15" i="116"/>
  <c r="J16" i="116"/>
  <c r="K16" i="116"/>
  <c r="L16" i="116"/>
  <c r="J17" i="116"/>
  <c r="K17" i="116"/>
  <c r="L17" i="116"/>
  <c r="J18" i="116"/>
  <c r="K18" i="116"/>
  <c r="L18" i="116"/>
  <c r="J19" i="116"/>
  <c r="K19" i="116"/>
  <c r="L19" i="116"/>
  <c r="J20" i="116"/>
  <c r="K20" i="116"/>
  <c r="L20" i="116"/>
  <c r="J21" i="116"/>
  <c r="K21" i="116"/>
  <c r="L21" i="116"/>
  <c r="J22" i="116"/>
  <c r="K22" i="116"/>
  <c r="L22" i="116"/>
  <c r="J23" i="116"/>
  <c r="K23" i="116"/>
  <c r="L23" i="116"/>
  <c r="AN7" i="111" a="1"/>
  <c r="AO7" i="111" a="1"/>
  <c r="AO8" i="111" a="1"/>
  <c r="AN9" i="111" a="1"/>
  <c r="AO9" i="111" a="1"/>
  <c r="AN8" i="111" a="1"/>
  <c r="AO12" i="111" a="1"/>
  <c r="AO11" i="111" a="1"/>
  <c r="AN6" i="111" a="1"/>
  <c r="P12" i="118" a="1"/>
  <c r="AO10" i="111" a="1"/>
  <c r="AO6" i="111" a="1"/>
  <c r="AN12" i="111" a="1"/>
  <c r="AN11" i="111" a="1"/>
  <c r="AN10" i="111" a="1"/>
  <c r="AO12" i="111" l="1"/>
  <c r="AN12" i="111"/>
  <c r="AO11" i="111"/>
  <c r="AN11" i="111"/>
  <c r="AS12" i="111"/>
  <c r="AR12" i="111"/>
  <c r="AP11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M16" i="116"/>
  <c r="M19" i="116"/>
  <c r="M23" i="116"/>
  <c r="M22" i="116"/>
  <c r="M10" i="116"/>
  <c r="M6" i="120"/>
  <c r="N6" i="120" s="1"/>
  <c r="O6" i="120" s="1"/>
  <c r="M21" i="116"/>
  <c r="M20" i="116"/>
  <c r="X12" i="118"/>
  <c r="Z12" i="118" s="1"/>
  <c r="J12" i="118"/>
  <c r="P12" i="118"/>
  <c r="B13" i="118"/>
  <c r="M13" i="116"/>
  <c r="M11" i="116"/>
  <c r="M14" i="116"/>
  <c r="M9" i="116"/>
  <c r="M17" i="116"/>
  <c r="M15" i="116"/>
  <c r="M18" i="116"/>
  <c r="L12" i="118" a="1"/>
  <c r="AP12" i="111" l="1"/>
  <c r="AT12" i="111" s="1"/>
  <c r="AP7" i="111"/>
  <c r="AP9" i="111"/>
  <c r="AT9" i="111" s="1"/>
  <c r="AT11" i="111"/>
  <c r="AP8" i="111"/>
  <c r="AT8" i="111" s="1"/>
  <c r="AP6" i="111"/>
  <c r="AT6" i="111" s="1"/>
  <c r="AT7" i="111"/>
  <c r="AP10" i="111"/>
  <c r="AT10" i="111" s="1"/>
  <c r="Z13" i="118"/>
  <c r="AC12" i="118"/>
  <c r="AC13" i="118" s="1"/>
  <c r="M24" i="116"/>
  <c r="I4" i="116" s="1"/>
  <c r="L12" i="118"/>
  <c r="K12" i="118" a="1"/>
  <c r="K12" i="118" l="1"/>
  <c r="Q12" i="118" s="1"/>
  <c r="J4" i="116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O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M12" i="118" a="1"/>
  <c r="C17" i="63" a="1"/>
  <c r="S12" i="45" a="1"/>
  <c r="W6" i="104" l="1"/>
  <c r="N5" i="107"/>
  <c r="M12" i="118"/>
  <c r="R12" i="118" s="1"/>
  <c r="V12" i="118" s="1"/>
  <c r="V13" i="118" s="1"/>
  <c r="F12" i="45"/>
  <c r="B12" i="45"/>
  <c r="S12" i="45"/>
  <c r="R5" i="111"/>
  <c r="P13" i="111"/>
  <c r="C17" i="63"/>
  <c r="Z8" i="104" a="1"/>
  <c r="Y8" i="104" a="1"/>
  <c r="AL5" i="111" a="1"/>
  <c r="C18" i="63" a="1"/>
  <c r="Z5" i="107" a="1"/>
  <c r="Z7" i="104" a="1"/>
  <c r="Y7" i="104" a="1"/>
  <c r="Z7" i="104" l="1"/>
  <c r="Y7" i="104"/>
  <c r="Z8" i="104"/>
  <c r="Y8" i="104"/>
  <c r="Z5" i="107"/>
  <c r="S12" i="118"/>
  <c r="AL5" i="111"/>
  <c r="AQ5" i="111" s="1"/>
  <c r="C12" i="45"/>
  <c r="R13" i="111"/>
  <c r="Z13" i="111"/>
  <c r="AA13" i="111"/>
  <c r="N13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Z6" i="104" a="1"/>
  <c r="Y6" i="104" a="1"/>
  <c r="Y6" i="104" l="1"/>
  <c r="Z6" i="104"/>
  <c r="AM5" i="111"/>
  <c r="AB5" i="111"/>
  <c r="AD5" i="111"/>
  <c r="AC5" i="111"/>
  <c r="AE5" i="111" s="1"/>
  <c r="AL13" i="111"/>
  <c r="C19" i="63"/>
  <c r="C20" i="63"/>
  <c r="AN5" i="111" a="1"/>
  <c r="AO5" i="111" a="1"/>
  <c r="D5" i="129" l="1"/>
  <c r="K5" i="129" s="1"/>
  <c r="L5" i="129" s="1"/>
  <c r="M5" i="129" s="1"/>
  <c r="D6" i="129"/>
  <c r="AN5" i="111"/>
  <c r="AO5" i="111"/>
  <c r="AR5" i="111"/>
  <c r="AS5" i="111"/>
  <c r="AM13" i="111"/>
  <c r="E5" i="129" l="1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H18" i="107"/>
  <c r="D18" i="107"/>
  <c r="C18" i="107"/>
  <c r="B9" i="104"/>
  <c r="C9" i="104"/>
  <c r="G9" i="104"/>
  <c r="N8" i="104"/>
  <c r="N7" i="104"/>
  <c r="N6" i="104"/>
  <c r="AP13" i="111" l="1"/>
  <c r="Q5" i="107"/>
  <c r="N9" i="104"/>
  <c r="O8" i="104"/>
  <c r="Q8" i="104" s="1"/>
  <c r="R8" i="104" s="1"/>
  <c r="O6" i="104"/>
  <c r="Q6" i="104" s="1"/>
  <c r="R6" i="104" s="1"/>
  <c r="O7" i="104"/>
  <c r="Q18" i="107" l="1"/>
  <c r="V5" i="107"/>
  <c r="X5" i="107" s="1"/>
  <c r="AA7" i="104"/>
  <c r="Q7" i="104"/>
  <c r="R7" i="104" s="1"/>
  <c r="AB7" i="104" s="1"/>
  <c r="R15" i="107" l="1"/>
  <c r="S15" i="107" s="1"/>
  <c r="U15" i="107" s="1"/>
  <c r="R17" i="107"/>
  <c r="S17" i="107" s="1"/>
  <c r="U17" i="107" s="1"/>
  <c r="R16" i="107"/>
  <c r="S16" i="107" s="1"/>
  <c r="U16" i="107" s="1"/>
  <c r="R14" i="107"/>
  <c r="S14" i="107" s="1"/>
  <c r="U14" i="107" s="1"/>
  <c r="R12" i="107"/>
  <c r="S12" i="107" s="1"/>
  <c r="U12" i="107" s="1"/>
  <c r="R9" i="107"/>
  <c r="S9" i="107" s="1"/>
  <c r="U9" i="107" s="1"/>
  <c r="R10" i="107"/>
  <c r="S10" i="107" s="1"/>
  <c r="U10" i="107" s="1"/>
  <c r="R8" i="107"/>
  <c r="S8" i="107" s="1"/>
  <c r="U8" i="107" s="1"/>
  <c r="R13" i="107"/>
  <c r="S13" i="107" s="1"/>
  <c r="U13" i="107" s="1"/>
  <c r="R11" i="107"/>
  <c r="S11" i="107" s="1"/>
  <c r="U11" i="107" s="1"/>
  <c r="R7" i="107"/>
  <c r="R6" i="107"/>
  <c r="R5" i="107"/>
  <c r="Z9" i="104"/>
  <c r="X9" i="104"/>
  <c r="AB8" i="104"/>
  <c r="R9" i="104"/>
  <c r="AI8" i="107" a="1"/>
  <c r="AI10" i="107" a="1"/>
  <c r="AI16" i="107" a="1"/>
  <c r="AI12" i="107" a="1"/>
  <c r="AI13" i="107" a="1"/>
  <c r="AI17" i="107" a="1"/>
  <c r="AI11" i="107" a="1"/>
  <c r="AI15" i="107" a="1"/>
  <c r="AI9" i="107" a="1"/>
  <c r="AI14" i="107" a="1"/>
  <c r="AI9" i="107" l="1"/>
  <c r="AI16" i="107"/>
  <c r="AI11" i="107"/>
  <c r="AI10" i="107"/>
  <c r="AI17" i="107"/>
  <c r="AI13" i="107"/>
  <c r="AI8" i="107"/>
  <c r="AI12" i="107"/>
  <c r="AI14" i="107"/>
  <c r="AI15" i="107"/>
  <c r="AB9" i="107"/>
  <c r="AB16" i="107"/>
  <c r="AB11" i="107"/>
  <c r="AB10" i="107"/>
  <c r="AB17" i="107"/>
  <c r="AB13" i="107"/>
  <c r="AB8" i="107"/>
  <c r="AB12" i="107"/>
  <c r="AB14" i="107"/>
  <c r="AB15" i="107"/>
  <c r="S7" i="107"/>
  <c r="S6" i="107"/>
  <c r="S5" i="107"/>
  <c r="U5" i="107" s="1"/>
  <c r="AA6" i="104"/>
  <c r="AB6" i="104"/>
  <c r="AA8" i="104"/>
  <c r="AK10" i="107" a="1"/>
  <c r="AK14" i="107" a="1"/>
  <c r="AK16" i="107" a="1"/>
  <c r="AK8" i="107" a="1"/>
  <c r="AK11" i="107" a="1"/>
  <c r="AK9" i="107" a="1"/>
  <c r="AK17" i="107" a="1"/>
  <c r="AI5" i="107" a="1"/>
  <c r="AK12" i="107" a="1"/>
  <c r="AK13" i="107" a="1"/>
  <c r="AK15" i="107" a="1"/>
  <c r="AK12" i="107" l="1"/>
  <c r="AK15" i="107"/>
  <c r="AK11" i="107"/>
  <c r="AK16" i="107"/>
  <c r="AK14" i="107"/>
  <c r="AK8" i="107"/>
  <c r="AK13" i="107"/>
  <c r="AK17" i="107"/>
  <c r="AK10" i="107"/>
  <c r="AK9" i="107"/>
  <c r="AJ12" i="107"/>
  <c r="AH12" i="107" s="1"/>
  <c r="AJ15" i="107"/>
  <c r="AH15" i="107" s="1"/>
  <c r="AJ11" i="107"/>
  <c r="AH11" i="107" s="1"/>
  <c r="AJ16" i="107"/>
  <c r="AH16" i="107" s="1"/>
  <c r="AJ14" i="107"/>
  <c r="AH14" i="107" s="1"/>
  <c r="AJ8" i="107"/>
  <c r="AH8" i="107" s="1"/>
  <c r="AJ13" i="107"/>
  <c r="AH13" i="107" s="1"/>
  <c r="AJ17" i="107"/>
  <c r="AH17" i="107" s="1"/>
  <c r="AJ10" i="107"/>
  <c r="AH10" i="107" s="1"/>
  <c r="AJ9" i="107"/>
  <c r="AH9" i="107" s="1"/>
  <c r="U7" i="107"/>
  <c r="AI5" i="107"/>
  <c r="AB5" i="107"/>
  <c r="U6" i="107"/>
  <c r="S18" i="107"/>
  <c r="Y9" i="104"/>
  <c r="AL8" i="107" a="1"/>
  <c r="AL17" i="107" a="1"/>
  <c r="AL11" i="107" a="1"/>
  <c r="AL16" i="107" a="1"/>
  <c r="AL14" i="107" a="1"/>
  <c r="AI6" i="107" a="1"/>
  <c r="AL13" i="107" a="1"/>
  <c r="AL12" i="107" a="1"/>
  <c r="AI7" i="107" a="1"/>
  <c r="AL15" i="107" a="1"/>
  <c r="AL10" i="107" a="1"/>
  <c r="AL9" i="107" a="1"/>
  <c r="AK5" i="107" a="1"/>
  <c r="AL16" i="107" l="1"/>
  <c r="AL14" i="107"/>
  <c r="AL11" i="107"/>
  <c r="AL9" i="107"/>
  <c r="AL10" i="107"/>
  <c r="AL15" i="107"/>
  <c r="AL12" i="107"/>
  <c r="AL17" i="107"/>
  <c r="AL13" i="107"/>
  <c r="AL8" i="107"/>
  <c r="AM16" i="107"/>
  <c r="AM14" i="107"/>
  <c r="AM11" i="107"/>
  <c r="AM9" i="107"/>
  <c r="AM10" i="107"/>
  <c r="AM15" i="107"/>
  <c r="AM12" i="107"/>
  <c r="AM17" i="107"/>
  <c r="AM13" i="107"/>
  <c r="AM8" i="107"/>
  <c r="AI7" i="107"/>
  <c r="AB7" i="107"/>
  <c r="AB18" i="107" s="1"/>
  <c r="AI6" i="107"/>
  <c r="AK5" i="107"/>
  <c r="AH5" i="107"/>
  <c r="AJ5" i="107"/>
  <c r="U18" i="107"/>
  <c r="AC12" i="45"/>
  <c r="AD12" i="45"/>
  <c r="K12" i="45"/>
  <c r="J12" i="45"/>
  <c r="H12" i="45"/>
  <c r="G12" i="45"/>
  <c r="L12" i="45"/>
  <c r="AW12" i="45" s="1"/>
  <c r="AJ12" i="45"/>
  <c r="X12" i="45"/>
  <c r="AI12" i="45"/>
  <c r="W12" i="45"/>
  <c r="AL5" i="107" a="1"/>
  <c r="AE12" i="45" a="1"/>
  <c r="AK7" i="107" a="1"/>
  <c r="AK6" i="107" a="1"/>
  <c r="AK7" i="107" l="1"/>
  <c r="AJ7" i="107"/>
  <c r="AH7" i="107" s="1"/>
  <c r="AL5" i="107"/>
  <c r="AK6" i="107"/>
  <c r="AM5" i="107"/>
  <c r="AJ6" i="107"/>
  <c r="AT12" i="45"/>
  <c r="AS12" i="45"/>
  <c r="AE12" i="45"/>
  <c r="AQ12" i="45"/>
  <c r="AO12" i="45"/>
  <c r="AP12" i="45"/>
  <c r="AL7" i="107" a="1"/>
  <c r="AL6" i="107" a="1"/>
  <c r="AK18" i="107" l="1"/>
  <c r="AL7" i="107"/>
  <c r="AM7" i="107"/>
  <c r="E5" i="120"/>
  <c r="F5" i="120" s="1"/>
  <c r="Q5" i="120" s="1"/>
  <c r="AL6" i="107"/>
  <c r="AH6" i="107"/>
  <c r="AM6" i="107"/>
  <c r="AJ18" i="107"/>
  <c r="AR12" i="45"/>
  <c r="AU12" i="45" s="1"/>
  <c r="AL18" i="107" l="1"/>
  <c r="D5" i="120"/>
  <c r="H5" i="120" s="1"/>
  <c r="M5" i="120" s="1"/>
  <c r="N5" i="120" s="1"/>
  <c r="O5" i="120" s="1"/>
  <c r="I12" i="45"/>
  <c r="O7" i="120" l="1"/>
  <c r="M7" i="120"/>
  <c r="M12" i="45" l="1"/>
  <c r="B13" i="45"/>
  <c r="O12" i="45" a="1"/>
  <c r="O12" i="45" l="1"/>
  <c r="AA12" i="45"/>
  <c r="Z12" i="45"/>
  <c r="AF12" i="45" s="1"/>
  <c r="AB12" i="45" a="1"/>
  <c r="N12" i="45" a="1"/>
  <c r="N12" i="45" l="1"/>
  <c r="T12" i="45" s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V12" i="45"/>
  <c r="AL12" i="45" s="1"/>
  <c r="AL13" i="45" s="1"/>
  <c r="K7" i="64" s="1"/>
  <c r="BA12" i="45"/>
  <c r="AZ12" i="45" l="1"/>
  <c r="AX12" i="45"/>
  <c r="AY12" i="45" s="1"/>
  <c r="BB12" i="45" s="1"/>
  <c r="AY13" i="45" l="1"/>
  <c r="K9" i="64" s="1"/>
  <c r="BB13" i="45"/>
  <c r="K10" i="64" s="1"/>
  <c r="M7" i="129" l="1"/>
  <c r="K7" i="1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0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<sst xmlns="http://schemas.openxmlformats.org/spreadsheetml/2006/main" count="1958" uniqueCount="792">
  <si>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</si>
  <si>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</si>
  <si>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</si>
  <si>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</si>
  <si>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</si>
  <si>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</si>
  <si>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</si>
  <si>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</si>
  <si>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</si>
  <si>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</si>
  <si>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</si>
  <si>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</si>
  <si>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</si>
  <si>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</si>
  <si>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</si>
  <si>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</si>
  <si>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</si>
  <si>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</si>
  <si>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</si>
  <si>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</si>
  <si>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</si>
  <si>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</si>
  <si>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</si>
  <si>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</si>
  <si>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</si>
  <si>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</si>
  <si>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</si>
  <si>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</si>
  <si>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</si>
  <si>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</si>
  <si>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</si>
  <si>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</si>
  <si>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</si>
  <si>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</si>
  <si>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</si>
  <si>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</si>
  <si>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</si>
  <si>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</si>
  <si>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</si>
  <si>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</si>
  <si>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</si>
  <si>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</si>
  <si>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</si>
  <si>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</si>
  <si>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</si>
  <si>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</si>
  <si>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</si>
  <si>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</si>
  <si>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</si>
  <si>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</si>
  <si>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</si>
  <si>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</si>
  <si>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</si>
  <si>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</si>
  <si>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</si>
  <si>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</si>
  <si>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</si>
  <si>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</si>
  <si>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</si>
  <si>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</si>
  <si>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</si>
  <si>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</si>
  <si>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</si>
  <si>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</si>
  <si>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</si>
  <si>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</si>
  <si>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</si>
  <si>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</si>
  <si>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</si>
  <si>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</si>
  <si>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</si>
  <si>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</si>
  <si>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</si>
  <si>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</si>
  <si>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</si>
  <si>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</si>
  <si>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</si>
  <si>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</si>
  <si>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</si>
  <si>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</si>
  <si>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</si>
  <si>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</si>
  <si>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</si>
  <si>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</si>
  <si>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</si>
  <si>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</si>
  <si>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</si>
  <si>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</si>
  <si>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</si>
  <si>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</si>
  <si>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</si>
  <si>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</si>
  <si>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</si>
  <si>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</si>
  <si>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</si>
  <si>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</si>
  <si>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</si>
  <si>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</si>
  <si>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</si>
  <si>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</si>
  <si>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</si>
  <si>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</si>
  <si>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</si>
  <si>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</si>
  <si>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</si>
  <si>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</si>
  <si>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</si>
  <si>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</si>
  <si>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</si>
  <si>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</si>
  <si>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</si>
  <si>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</si>
  <si>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</si>
  <si>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</si>
  <si>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</si>
  <si>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</si>
  <si>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</si>
  <si>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</si>
  <si>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</si>
  <si>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</si>
  <si>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</si>
  <si>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</si>
  <si>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</si>
  <si>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</si>
  <si>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</si>
  <si>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</si>
  <si>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</si>
  <si>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</si>
  <si>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</si>
  <si>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</si>
  <si>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</si>
  <si>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</si>
  <si>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</si>
  <si>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</si>
  <si>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</si>
  <si>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</si>
  <si>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</si>
  <si>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</si>
  <si>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</si>
  <si>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</si>
  <si>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</si>
  <si>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</si>
  <si>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</si>
  <si>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</si>
  <si>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</si>
  <si>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</si>
  <si>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</si>
  <si>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</si>
  <si>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</si>
  <si>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</si>
  <si>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</si>
  <si>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</si>
  <si>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</si>
  <si>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</si>
  <si>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</si>
  <si>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</si>
  <si>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</si>
  <si>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</si>
  <si>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</si>
  <si>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</si>
  <si>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</si>
  <si>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</si>
  <si>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</si>
  <si>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</si>
  <si>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</si>
  <si>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</si>
  <si>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</si>
  <si>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</si>
  <si>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</si>
  <si>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</si>
  <si>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</si>
  <si>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</si>
  <si>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</si>
  <si>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</si>
  <si>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</si>
  <si>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</si>
  <si>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</si>
  <si>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</si>
  <si>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</si>
  <si>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</si>
  <si>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</si>
  <si>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</si>
  <si>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</si>
  <si>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</si>
  <si>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</si>
  <si>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</si>
  <si>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</si>
  <si>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</si>
  <si>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</si>
  <si>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</si>
  <si>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</si>
  <si>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</si>
  <si>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</si>
  <si>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</si>
  <si>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</si>
  <si>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</si>
  <si>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</si>
  <si>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</si>
  <si>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</si>
  <si>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</si>
  <si>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</si>
  <si>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</si>
  <si>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</si>
  <si>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</si>
  <si>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</si>
  <si>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</si>
  <si>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</si>
  <si>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</si>
  <si>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</si>
  <si>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</si>
  <si>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</si>
  <si>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</si>
  <si>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</si>
  <si>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</si>
  <si>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</si>
  <si>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</si>
  <si>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</si>
  <si>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</si>
  <si>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</si>
  <si>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</si>
  <si>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</si>
  <si>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</si>
  <si>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</si>
  <si>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</si>
  <si>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</si>
  <si>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</si>
  <si>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</si>
  <si>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</si>
  <si>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</si>
  <si>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</si>
  <si>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</si>
  <si>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</si>
  <si>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</si>
  <si>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</si>
  <si>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</si>
  <si>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</si>
  <si>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</si>
  <si>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</si>
  <si>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</si>
  <si>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</si>
  <si>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</si>
  <si>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</si>
  <si>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</si>
  <si>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</si>
  <si>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</si>
  <si>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</si>
  <si>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</si>
  <si>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</si>
  <si>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</si>
  <si>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</si>
  <si>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</si>
  <si>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</si>
  <si>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</si>
  <si>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</si>
  <si>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</si>
  <si>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</si>
  <si>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</si>
  <si>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</si>
  <si>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</si>
  <si>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</si>
  <si>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</si>
  <si>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</si>
  <si>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</si>
  <si>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</si>
  <si>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</si>
  <si>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</si>
  <si>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</si>
  <si>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</si>
  <si>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</si>
  <si>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</si>
  <si>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</si>
  <si>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</si>
  <si>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</si>
  <si>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</si>
  <si>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</si>
  <si>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</si>
  <si>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</si>
  <si>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</si>
  <si>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</si>
  <si>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</si>
  <si>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</si>
  <si>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</si>
  <si>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</si>
  <si>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</si>
  <si>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</si>
  <si>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</si>
  <si>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</si>
  <si>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</si>
  <si>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</si>
  <si>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</si>
  <si>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</si>
  <si>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</si>
  <si>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</si>
  <si>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</si>
  <si>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</si>
  <si>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</si>
  <si>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</si>
  <si>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</si>
  <si>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</si>
  <si>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</si>
  <si>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</si>
  <si>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</si>
  <si>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</si>
  <si>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</si>
  <si>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</si>
  <si>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</si>
  <si>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</si>
  <si>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</si>
  <si>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</si>
  <si>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</si>
  <si>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</si>
  <si>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</si>
  <si>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</si>
  <si>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</si>
  <si>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</si>
  <si>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</si>
  <si>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</si>
  <si>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</si>
  <si>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</si>
  <si>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</si>
  <si>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</si>
  <si>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</si>
  <si>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</si>
  <si>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</si>
  <si>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</si>
  <si>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</si>
  <si>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</si>
  <si>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</si>
  <si>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</si>
  <si>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</si>
  <si>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</si>
  <si>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</si>
  <si>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</si>
  <si>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</si>
  <si>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</si>
  <si>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</si>
  <si>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</si>
  <si>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</si>
  <si>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</si>
  <si>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</si>
  <si>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</si>
  <si>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</si>
  <si>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</si>
  <si>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</si>
  <si>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</si>
  <si>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</si>
  <si>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</si>
  <si>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</si>
  <si>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</si>
  <si>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</si>
  <si>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</si>
  <si>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</si>
  <si>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</si>
  <si>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</si>
  <si>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</si>
  <si>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</si>
  <si>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</si>
  <si>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</si>
  <si>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</si>
  <si>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</si>
  <si>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</si>
  <si>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</si>
  <si>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</si>
  <si>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</si>
  <si>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</si>
  <si>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</si>
  <si>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</si>
  <si>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</si>
  <si>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</si>
  <si>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</si>
  <si>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</si>
  <si>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</si>
  <si>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</si>
  <si>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</si>
  <si>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</si>
  <si>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</si>
  <si>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</si>
  <si>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</si>
  <si>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</si>
  <si>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</si>
  <si>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</si>
  <si>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</si>
  <si>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</si>
  <si>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</si>
  <si>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</si>
  <si>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</si>
  <si>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</si>
  <si>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</si>
  <si>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</si>
  <si>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</si>
  <si>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</si>
  <si>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</si>
  <si>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</si>
  <si>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</si>
  <si>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</si>
  <si>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</si>
  <si>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</si>
  <si>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</si>
  <si>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</si>
  <si>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</si>
  <si>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</si>
  <si>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</si>
  <si>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</si>
  <si>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</si>
  <si>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</si>
  <si>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</si>
  <si>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</si>
  <si>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</si>
  <si>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</si>
  <si>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</si>
  <si>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</si>
  <si>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</si>
  <si>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</si>
  <si>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</si>
  <si>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</si>
  <si>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</si>
  <si>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</si>
  <si>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</si>
  <si>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</si>
  <si>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</si>
  <si>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</si>
  <si>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</si>
  <si>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</si>
  <si>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</si>
  <si>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</si>
  <si>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</si>
  <si>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</si>
  <si>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</si>
  <si>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</si>
  <si>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</si>
  <si>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</si>
  <si>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</si>
  <si>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</si>
  <si>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</si>
  <si>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</si>
  <si>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</si>
  <si>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</si>
  <si>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</si>
  <si>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</si>
  <si>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</si>
  <si>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</si>
  <si>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</si>
  <si>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</si>
  <si>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</si>
  <si>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</si>
  <si>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</si>
  <si>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</si>
  <si>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</si>
  <si>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</si>
  <si>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</si>
  <si>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</si>
  <si>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</si>
  <si>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</si>
  <si>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</si>
  <si>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</si>
  <si>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</si>
  <si>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</si>
  <si>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</si>
  <si>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</si>
  <si>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</si>
  <si>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</si>
  <si>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</si>
  <si>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</si>
  <si>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</si>
  <si>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</si>
  <si>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</si>
  <si>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</si>
  <si>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</si>
  <si>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</si>
  <si>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</si>
  <si>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</si>
  <si>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</si>
  <si>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</si>
  <si>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</si>
  <si>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</si>
  <si>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</si>
  <si>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</si>
  <si>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</si>
  <si>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</si>
  <si>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</si>
  <si>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</si>
  <si>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</si>
  <si>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</si>
  <si>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</si>
  <si>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</si>
  <si>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</si>
  <si>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</si>
  <si>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</si>
  <si>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</si>
  <si>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</si>
  <si>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</si>
  <si>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</si>
  <si>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</si>
  <si>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</si>
  <si>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</si>
  <si>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</si>
  <si>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</si>
  <si>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</si>
  <si>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</si>
  <si>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</si>
  <si>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</si>
  <si>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</si>
  <si>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</si>
  <si>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</si>
  <si>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</si>
  <si>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</si>
  <si>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</si>
  <si>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</si>
  <si>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</si>
  <si>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</si>
  <si>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</si>
  <si>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</si>
  <si>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</si>
  <si>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</si>
  <si>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</si>
  <si>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</si>
  <si>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</si>
  <si>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</si>
  <si>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</si>
  <si>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</si>
  <si>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</si>
  <si>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</si>
  <si>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</si>
  <si>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</si>
  <si>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</si>
  <si>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</si>
  <si>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</si>
  <si>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</si>
  <si>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</si>
  <si>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</si>
  <si>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</si>
  <si>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</si>
  <si>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</si>
  <si>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</si>
  <si>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</si>
  <si>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</si>
  <si>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</si>
  <si>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</si>
  <si>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</si>
  <si>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</si>
  <si>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</si>
  <si>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</si>
  <si>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</si>
  <si>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</si>
  <si>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</si>
  <si>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</si>
  <si>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</si>
  <si>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</si>
  <si>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</si>
  <si>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</si>
  <si>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</si>
  <si>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</si>
  <si>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</si>
  <si>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</si>
  <si>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</si>
  <si>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</si>
  <si>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</si>
  <si>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</si>
  <si>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</si>
  <si>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</si>
  <si>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</si>
  <si>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</si>
  <si>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</si>
  <si>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</si>
  <si>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</si>
  <si>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</si>
  <si>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</si>
  <si>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</si>
  <si>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</si>
  <si>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</si>
  <si>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</si>
  <si>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</si>
  <si>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</si>
  <si>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</si>
  <si>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</si>
  <si>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</si>
  <si>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</si>
  <si>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</si>
  <si>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</si>
  <si>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</si>
  <si>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</si>
  <si>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</si>
  <si>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</si>
  <si>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</si>
  <si>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</si>
  <si>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</si>
  <si>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</si>
  <si>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</si>
  <si>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</si>
  <si>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</si>
  <si>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</si>
  <si>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</si>
  <si>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</si>
  <si>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</si>
  <si>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</si>
  <si>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</si>
  <si>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</si>
  <si>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</si>
  <si>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</si>
  <si>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</si>
  <si>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</si>
  <si>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</si>
  <si>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</si>
  <si>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</si>
  <si>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</si>
  <si>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</si>
  <si>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</si>
  <si>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</si>
  <si>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</si>
  <si>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</si>
  <si>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</si>
  <si>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</si>
  <si>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</si>
  <si>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</si>
  <si>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</si>
  <si>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</si>
  <si>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</si>
  <si>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</si>
  <si>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</si>
  <si>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</si>
  <si>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</si>
  <si>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</si>
  <si>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</si>
  <si>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</si>
  <si>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</si>
  <si>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</si>
  <si>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</si>
  <si>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</si>
  <si>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</si>
  <si>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</si>
  <si>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</si>
  <si>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</si>
  <si>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</si>
  <si>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</si>
  <si>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</si>
  <si>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</si>
  <si>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</si>
  <si>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</si>
  <si>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</si>
  <si>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</si>
  <si>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</si>
  <si>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</si>
  <si>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</si>
  <si>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</si>
  <si>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</si>
  <si>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</si>
  <si>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</si>
  <si>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</si>
  <si>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</si>
  <si>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</si>
  <si>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</si>
  <si>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</si>
  <si>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</si>
  <si>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</si>
  <si>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</si>
  <si>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</si>
  <si>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</si>
  <si>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</si>
  <si>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</si>
  <si>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</si>
  <si>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</si>
  <si>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</si>
  <si>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</si>
  <si>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</si>
  <si>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</si>
  <si>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</si>
  <si>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</si>
  <si>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</si>
  <si>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</si>
  <si>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</si>
  <si>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</si>
  <si>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</si>
  <si>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</si>
  <si>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</si>
  <si>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</si>
  <si>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</si>
  <si>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</si>
  <si>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</si>
  <si>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</si>
  <si>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</si>
  <si>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</si>
  <si>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</si>
  <si>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</si>
  <si>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</si>
  <si>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</si>
  <si>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</si>
  <si>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</si>
  <si>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</si>
  <si>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</si>
  <si>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</si>
  <si>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</si>
  <si>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</si>
  <si>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</si>
  <si>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</si>
  <si>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</si>
  <si>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</si>
  <si>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</si>
  <si>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</si>
  <si>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</si>
  <si>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</si>
  <si>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</si>
  <si>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</si>
  <si>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</si>
  <si>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</si>
  <si>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</si>
  <si>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</si>
  <si>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FC-1</t>
  </si>
  <si>
    <t>Total Load
(BTUs)</t>
  </si>
  <si>
    <t>Watts Per Sqft 
from Equipment</t>
  </si>
  <si>
    <t>Height (ft)</t>
  </si>
  <si>
    <t>Area
(ft2)</t>
  </si>
  <si>
    <t xml:space="preserve">Room 
number </t>
  </si>
  <si>
    <t>Room 
Name</t>
  </si>
  <si>
    <t>Unit 
Serving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</si>
  <si>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</si>
  <si>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</si>
  <si>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</si>
  <si>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</si>
  <si>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</si>
  <si>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</si>
  <si>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Envelope Load 
(BTU/HR)</t>
  </si>
  <si>
    <t>Make up Air / OA required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</si>
  <si>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</si>
  <si>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</si>
  <si>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</si>
  <si>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</si>
  <si>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</si>
  <si>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</si>
  <si>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</si>
  <si>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</si>
  <si>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</si>
  <si>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</si>
  <si>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</si>
  <si>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</si>
  <si>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</si>
  <si>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</si>
  <si>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</si>
  <si>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</si>
  <si>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</si>
  <si>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</si>
  <si>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</si>
  <si>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</si>
  <si>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</si>
  <si>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</si>
  <si>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</si>
  <si>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</si>
  <si>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</si>
  <si>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</si>
  <si>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</si>
  <si>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</si>
  <si>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</si>
  <si>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</si>
  <si>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</si>
  <si>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</si>
  <si>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</si>
  <si>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</si>
  <si>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</si>
  <si>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</si>
  <si>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</si>
  <si>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</si>
  <si>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</si>
  <si>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</si>
  <si>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</si>
  <si>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</si>
  <si>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Cooling coil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</si>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</sst>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2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3" borderId="0"/>
    <xf numFmtId="9" fontId="1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" fillId="0" borderId="0"/>
    <xf numFmtId="0" fontId="49" fillId="0" borderId="146" applyNumberFormat="0" applyFill="0" applyAlignment="0" applyProtection="0"/>
  </cellStyleXfs>
  <cellXfs count="383">
    <xf numFmtId="0" fontId="0" fillId="0" borderId="0" xfId="0"/>
    <xf numFmtId="0" fontId="4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0" fillId="0" borderId="0" xfId="0" applyFont="1"/>
    <xf numFmtId="0" fontId="22" fillId="0" borderId="0" xfId="0" applyFont="1"/>
    <xf numFmtId="0" fontId="18" fillId="0" borderId="14" xfId="0" applyFont="1" applyBorder="1" applyAlignment="1">
      <alignment horizontal="center" vertical="center"/>
    </xf>
    <xf numFmtId="3" fontId="18" fillId="0" borderId="14" xfId="0" applyNumberFormat="1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165" fontId="18" fillId="0" borderId="14" xfId="0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0" fillId="0" borderId="6" xfId="0" applyFont="1" applyBorder="1"/>
    <xf numFmtId="165" fontId="10" fillId="0" borderId="6" xfId="0" applyNumberFormat="1" applyFont="1" applyBorder="1"/>
    <xf numFmtId="0" fontId="10" fillId="0" borderId="3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right"/>
    </xf>
    <xf numFmtId="165" fontId="27" fillId="0" borderId="14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0" fontId="14" fillId="2" borderId="0" xfId="0" applyFont="1" applyFill="1" applyAlignment="1">
      <alignment horizontal="center"/>
    </xf>
    <xf numFmtId="0" fontId="14" fillId="2" borderId="0" xfId="0" applyFont="1" applyFill="1"/>
    <xf numFmtId="0" fontId="33" fillId="0" borderId="0" xfId="0" applyFont="1"/>
    <xf numFmtId="0" fontId="33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34" fillId="0" borderId="0" xfId="0" applyNumberFormat="1" applyFont="1" applyAlignment="1">
      <alignment horizontal="center" shrinkToFit="1"/>
    </xf>
    <xf numFmtId="164" fontId="34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2" fontId="15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5" xfId="4" applyFont="1" applyBorder="1" applyAlignment="1">
      <alignment vertical="center"/>
    </xf>
    <xf numFmtId="0" fontId="5" fillId="0" borderId="1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4" fillId="0" borderId="15" xfId="4" applyFont="1" applyBorder="1" applyAlignment="1">
      <alignment vertical="center"/>
    </xf>
    <xf numFmtId="0" fontId="4" fillId="0" borderId="16" xfId="4" applyFont="1" applyBorder="1" applyAlignment="1">
      <alignment horizontal="center"/>
    </xf>
    <xf numFmtId="0" fontId="4" fillId="0" borderId="17" xfId="4" applyFont="1" applyBorder="1" applyAlignment="1">
      <alignment horizontal="center"/>
    </xf>
    <xf numFmtId="0" fontId="4" fillId="0" borderId="18" xfId="4" applyFont="1" applyBorder="1" applyAlignment="1">
      <alignment horizontal="center"/>
    </xf>
    <xf numFmtId="0" fontId="4" fillId="0" borderId="19" xfId="4" applyFont="1" applyBorder="1" applyAlignment="1">
      <alignment horizontal="center"/>
    </xf>
    <xf numFmtId="0" fontId="4" fillId="0" borderId="15" xfId="4" applyFont="1" applyBorder="1" applyAlignment="1">
      <alignment horizontal="center" vertical="center"/>
    </xf>
    <xf numFmtId="0" fontId="6" fillId="0" borderId="15" xfId="4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" fontId="41" fillId="0" borderId="21" xfId="0" applyNumberFormat="1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/>
    </xf>
    <xf numFmtId="9" fontId="40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4" applyAlignment="1">
      <alignment horizontal="center"/>
    </xf>
    <xf numFmtId="0" fontId="3" fillId="0" borderId="0" xfId="0" applyFont="1" applyAlignment="1">
      <alignment horizontal="center"/>
    </xf>
    <xf numFmtId="43" fontId="3" fillId="0" borderId="0" xfId="4" applyNumberFormat="1" applyAlignment="1">
      <alignment horizontal="center"/>
    </xf>
    <xf numFmtId="2" fontId="3" fillId="0" borderId="0" xfId="4" applyNumberFormat="1" applyAlignment="1">
      <alignment horizontal="center"/>
    </xf>
    <xf numFmtId="9" fontId="18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 vertical="center" wrapText="1"/>
    </xf>
    <xf numFmtId="0" fontId="37" fillId="7" borderId="3" xfId="0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left" vertical="center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9" fontId="14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4" applyAlignment="1">
      <alignment horizontal="left"/>
    </xf>
    <xf numFmtId="0" fontId="3" fillId="0" borderId="0" xfId="4"/>
    <xf numFmtId="4" fontId="0" fillId="0" borderId="0" xfId="0" applyNumberFormat="1"/>
    <xf numFmtId="0" fontId="44" fillId="0" borderId="0" xfId="0" applyFont="1"/>
    <xf numFmtId="0" fontId="4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5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 wrapText="1"/>
    </xf>
    <xf numFmtId="164" fontId="15" fillId="0" borderId="27" xfId="0" applyNumberFormat="1" applyFont="1" applyBorder="1" applyAlignment="1">
      <alignment horizontal="center" shrinkToFit="1"/>
    </xf>
    <xf numFmtId="1" fontId="15" fillId="0" borderId="25" xfId="0" applyNumberFormat="1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37" fillId="7" borderId="25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wrapText="1"/>
    </xf>
    <xf numFmtId="1" fontId="14" fillId="0" borderId="25" xfId="0" applyNumberFormat="1" applyFont="1" applyBorder="1" applyAlignment="1">
      <alignment horizontal="center" vertical="center" wrapText="1"/>
    </xf>
    <xf numFmtId="2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5" fillId="0" borderId="25" xfId="0" applyNumberFormat="1" applyFont="1" applyBorder="1" applyAlignment="1">
      <alignment horizontal="center" vertical="center"/>
    </xf>
    <xf numFmtId="0" fontId="14" fillId="2" borderId="25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Border="1" applyAlignment="1" applyProtection="1">
      <alignment horizontal="center" vertical="center" wrapText="1"/>
      <protection locked="0"/>
    </xf>
    <xf numFmtId="165" fontId="15" fillId="0" borderId="25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shrinkToFit="1"/>
    </xf>
    <xf numFmtId="164" fontId="15" fillId="0" borderId="26" xfId="0" applyNumberFormat="1" applyFont="1" applyBorder="1" applyAlignment="1">
      <alignment horizontal="center" vertical="center" shrinkToFit="1"/>
    </xf>
    <xf numFmtId="0" fontId="15" fillId="0" borderId="26" xfId="0" applyFont="1" applyBorder="1" applyAlignment="1">
      <alignment horizontal="center" vertical="center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>
      <alignment horizontal="center" vertical="center"/>
    </xf>
    <xf numFmtId="0" fontId="14" fillId="0" borderId="25" xfId="0" applyFont="1" applyBorder="1" applyAlignment="1" applyProtection="1">
      <alignment horizontal="center" vertical="center"/>
      <protection locked="0"/>
    </xf>
    <xf numFmtId="1" fontId="14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center" vertical="center"/>
    </xf>
    <xf numFmtId="165" fontId="36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left"/>
    </xf>
    <xf numFmtId="9" fontId="36" fillId="7" borderId="25" xfId="2" applyFont="1" applyFill="1" applyBorder="1" applyAlignment="1" applyProtection="1">
      <alignment horizontal="center" vertical="center"/>
      <protection locked="0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65" fontId="8" fillId="0" borderId="25" xfId="0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49" fontId="12" fillId="0" borderId="25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" fontId="12" fillId="0" borderId="25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3" fontId="8" fillId="0" borderId="25" xfId="0" applyNumberFormat="1" applyFont="1" applyBorder="1" applyAlignment="1">
      <alignment horizontal="center" vertical="center"/>
    </xf>
    <xf numFmtId="165" fontId="38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65" fontId="35" fillId="7" borderId="25" xfId="0" applyNumberFormat="1" applyFont="1" applyFill="1" applyBorder="1" applyAlignment="1">
      <alignment horizontal="center" vertical="center"/>
    </xf>
    <xf numFmtId="167" fontId="8" fillId="0" borderId="25" xfId="0" applyNumberFormat="1" applyFont="1" applyBorder="1" applyAlignment="1">
      <alignment horizontal="center" vertical="center"/>
    </xf>
    <xf numFmtId="165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>
      <alignment horizontal="center" vertical="center"/>
    </xf>
    <xf numFmtId="0" fontId="5" fillId="0" borderId="21" xfId="4" applyFont="1" applyBorder="1" applyAlignment="1">
      <alignment vertical="center"/>
    </xf>
    <xf numFmtId="0" fontId="5" fillId="0" borderId="22" xfId="4" applyFont="1" applyBorder="1" applyAlignment="1">
      <alignment vertical="center"/>
    </xf>
    <xf numFmtId="0" fontId="5" fillId="0" borderId="28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0" fontId="4" fillId="0" borderId="29" xfId="4" applyFont="1" applyBorder="1" applyAlignment="1">
      <alignment vertical="center"/>
    </xf>
    <xf numFmtId="0" fontId="4" fillId="0" borderId="30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34" xfId="4" applyFont="1" applyBorder="1" applyAlignment="1">
      <alignment horizontal="center" vertical="center"/>
    </xf>
    <xf numFmtId="0" fontId="6" fillId="0" borderId="29" xfId="4" applyFont="1" applyBorder="1" applyAlignment="1">
      <alignment horizontal="center" vertical="center"/>
    </xf>
    <xf numFmtId="0" fontId="4" fillId="0" borderId="35" xfId="4" applyFont="1" applyBorder="1" applyAlignment="1">
      <alignment horizontal="left" vertical="center"/>
    </xf>
    <xf numFmtId="0" fontId="4" fillId="0" borderId="36" xfId="4" applyFont="1" applyBorder="1" applyAlignment="1">
      <alignment horizontal="center" vertical="center"/>
    </xf>
    <xf numFmtId="0" fontId="4" fillId="0" borderId="37" xfId="4" applyFont="1" applyBorder="1" applyAlignment="1">
      <alignment horizontal="center" vertical="center"/>
    </xf>
    <xf numFmtId="0" fontId="4" fillId="0" borderId="38" xfId="4" applyFont="1" applyBorder="1" applyAlignment="1">
      <alignment horizontal="left" vertical="center"/>
    </xf>
    <xf numFmtId="0" fontId="4" fillId="0" borderId="39" xfId="4" applyFont="1" applyBorder="1" applyAlignment="1">
      <alignment horizontal="center" vertical="center"/>
    </xf>
    <xf numFmtId="0" fontId="4" fillId="0" borderId="40" xfId="4" applyFont="1" applyBorder="1" applyAlignment="1">
      <alignment horizontal="center" vertical="center"/>
    </xf>
    <xf numFmtId="0" fontId="4" fillId="0" borderId="41" xfId="4" applyFont="1" applyBorder="1" applyAlignment="1">
      <alignment horizontal="left" vertical="center"/>
    </xf>
    <xf numFmtId="0" fontId="4" fillId="0" borderId="42" xfId="4" applyFont="1" applyBorder="1" applyAlignment="1">
      <alignment horizontal="center" vertical="center"/>
    </xf>
    <xf numFmtId="0" fontId="4" fillId="0" borderId="43" xfId="4" applyFont="1" applyBorder="1" applyAlignment="1">
      <alignment horizontal="center" vertical="center"/>
    </xf>
    <xf numFmtId="0" fontId="4" fillId="0" borderId="44" xfId="4" applyFont="1" applyBorder="1" applyAlignment="1">
      <alignment horizontal="left" vertical="center"/>
    </xf>
    <xf numFmtId="0" fontId="4" fillId="0" borderId="45" xfId="4" applyFont="1" applyBorder="1" applyAlignment="1">
      <alignment horizontal="center" vertical="center"/>
    </xf>
    <xf numFmtId="0" fontId="4" fillId="0" borderId="46" xfId="4" applyFont="1" applyBorder="1" applyAlignment="1">
      <alignment horizontal="center" vertical="center"/>
    </xf>
    <xf numFmtId="0" fontId="4" fillId="0" borderId="47" xfId="4" applyFont="1" applyBorder="1" applyAlignment="1">
      <alignment horizontal="left" vertical="center"/>
    </xf>
    <xf numFmtId="0" fontId="4" fillId="0" borderId="48" xfId="4" applyFont="1" applyBorder="1" applyAlignment="1">
      <alignment horizontal="center" vertical="center"/>
    </xf>
    <xf numFmtId="0" fontId="4" fillId="0" borderId="49" xfId="4" applyFont="1" applyBorder="1" applyAlignment="1">
      <alignment horizontal="center" vertical="center"/>
    </xf>
    <xf numFmtId="0" fontId="4" fillId="0" borderId="50" xfId="4" applyFont="1" applyBorder="1" applyAlignment="1">
      <alignment horizontal="left" vertical="center"/>
    </xf>
    <xf numFmtId="0" fontId="4" fillId="0" borderId="51" xfId="4" applyFont="1" applyBorder="1" applyAlignment="1">
      <alignment horizontal="center" vertical="center"/>
    </xf>
    <xf numFmtId="0" fontId="4" fillId="0" borderId="52" xfId="4" applyFont="1" applyBorder="1" applyAlignment="1">
      <alignment horizontal="center" vertical="center"/>
    </xf>
    <xf numFmtId="0" fontId="4" fillId="0" borderId="53" xfId="4" applyFont="1" applyBorder="1" applyAlignment="1">
      <alignment horizontal="left" vertical="center"/>
    </xf>
    <xf numFmtId="0" fontId="4" fillId="0" borderId="54" xfId="4" applyFont="1" applyBorder="1" applyAlignment="1">
      <alignment horizontal="center" vertical="center"/>
    </xf>
    <xf numFmtId="0" fontId="4" fillId="0" borderId="55" xfId="4" applyFont="1" applyBorder="1" applyAlignment="1">
      <alignment horizontal="center" vertical="center"/>
    </xf>
    <xf numFmtId="0" fontId="4" fillId="0" borderId="56" xfId="4" applyFont="1" applyBorder="1" applyAlignment="1">
      <alignment horizontal="left" vertical="center"/>
    </xf>
    <xf numFmtId="0" fontId="4" fillId="0" borderId="57" xfId="4" applyFont="1" applyBorder="1" applyAlignment="1">
      <alignment horizontal="center" vertical="center"/>
    </xf>
    <xf numFmtId="0" fontId="4" fillId="0" borderId="58" xfId="4" applyFont="1" applyBorder="1" applyAlignment="1">
      <alignment horizontal="center" vertical="center"/>
    </xf>
    <xf numFmtId="0" fontId="4" fillId="0" borderId="58" xfId="4" applyFont="1" applyBorder="1" applyAlignment="1">
      <alignment vertical="center"/>
    </xf>
    <xf numFmtId="0" fontId="4" fillId="0" borderId="59" xfId="4" applyFont="1" applyBorder="1" applyAlignment="1">
      <alignment horizontal="left" vertical="center"/>
    </xf>
    <xf numFmtId="0" fontId="4" fillId="0" borderId="60" xfId="4" applyFont="1" applyBorder="1" applyAlignment="1">
      <alignment horizontal="center" vertical="center"/>
    </xf>
    <xf numFmtId="0" fontId="4" fillId="0" borderId="61" xfId="4" applyFont="1" applyBorder="1" applyAlignment="1">
      <alignment horizontal="center" vertical="center"/>
    </xf>
    <xf numFmtId="0" fontId="4" fillId="0" borderId="62" xfId="4" applyFont="1" applyBorder="1" applyAlignment="1">
      <alignment horizontal="left" vertical="center"/>
    </xf>
    <xf numFmtId="0" fontId="4" fillId="0" borderId="63" xfId="4" applyFont="1" applyBorder="1" applyAlignment="1">
      <alignment horizontal="center" vertical="center"/>
    </xf>
    <xf numFmtId="0" fontId="4" fillId="0" borderId="64" xfId="4" applyFont="1" applyBorder="1" applyAlignment="1">
      <alignment horizontal="center" vertical="center"/>
    </xf>
    <xf numFmtId="0" fontId="4" fillId="0" borderId="65" xfId="4" applyFont="1" applyBorder="1" applyAlignment="1">
      <alignment horizontal="left" vertical="center"/>
    </xf>
    <xf numFmtId="0" fontId="4" fillId="0" borderId="66" xfId="4" applyFont="1" applyBorder="1" applyAlignment="1">
      <alignment horizontal="center" vertical="center"/>
    </xf>
    <xf numFmtId="0" fontId="4" fillId="0" borderId="67" xfId="4" applyFont="1" applyBorder="1" applyAlignment="1">
      <alignment horizontal="center" vertical="center"/>
    </xf>
    <xf numFmtId="0" fontId="4" fillId="0" borderId="68" xfId="4" applyFont="1" applyBorder="1" applyAlignment="1">
      <alignment horizontal="left" vertical="center"/>
    </xf>
    <xf numFmtId="0" fontId="4" fillId="0" borderId="69" xfId="4" applyFont="1" applyBorder="1" applyAlignment="1">
      <alignment horizontal="center" vertical="center"/>
    </xf>
    <xf numFmtId="0" fontId="4" fillId="0" borderId="70" xfId="4" applyFont="1" applyBorder="1" applyAlignment="1">
      <alignment horizontal="center" vertical="center"/>
    </xf>
    <xf numFmtId="0" fontId="4" fillId="0" borderId="71" xfId="4" applyFont="1" applyBorder="1" applyAlignment="1">
      <alignment horizontal="left" vertical="center"/>
    </xf>
    <xf numFmtId="0" fontId="4" fillId="0" borderId="72" xfId="4" applyFont="1" applyBorder="1" applyAlignment="1">
      <alignment horizontal="center" vertical="center"/>
    </xf>
    <xf numFmtId="0" fontId="4" fillId="0" borderId="73" xfId="4" applyFont="1" applyBorder="1" applyAlignment="1">
      <alignment horizontal="center" vertical="center"/>
    </xf>
    <xf numFmtId="0" fontId="4" fillId="0" borderId="74" xfId="4" applyFont="1" applyBorder="1" applyAlignment="1">
      <alignment horizontal="left" vertical="center"/>
    </xf>
    <xf numFmtId="0" fontId="4" fillId="0" borderId="75" xfId="4" applyFont="1" applyBorder="1" applyAlignment="1">
      <alignment horizontal="center" vertical="center"/>
    </xf>
    <xf numFmtId="0" fontId="4" fillId="0" borderId="76" xfId="4" applyFont="1" applyBorder="1" applyAlignment="1">
      <alignment horizontal="center" vertical="center"/>
    </xf>
    <xf numFmtId="0" fontId="4" fillId="0" borderId="77" xfId="4" applyFont="1" applyBorder="1" applyAlignment="1">
      <alignment horizontal="left" vertical="center"/>
    </xf>
    <xf numFmtId="0" fontId="4" fillId="0" borderId="78" xfId="4" applyFont="1" applyBorder="1" applyAlignment="1">
      <alignment horizontal="center" vertical="center"/>
    </xf>
    <xf numFmtId="0" fontId="4" fillId="0" borderId="79" xfId="4" applyFont="1" applyBorder="1" applyAlignment="1">
      <alignment horizontal="center" vertical="center"/>
    </xf>
    <xf numFmtId="0" fontId="4" fillId="0" borderId="80" xfId="4" applyFont="1" applyBorder="1" applyAlignment="1">
      <alignment horizontal="left" vertical="center"/>
    </xf>
    <xf numFmtId="0" fontId="4" fillId="0" borderId="81" xfId="4" applyFont="1" applyBorder="1" applyAlignment="1">
      <alignment horizontal="center" vertical="center"/>
    </xf>
    <xf numFmtId="0" fontId="4" fillId="0" borderId="82" xfId="4" applyFont="1" applyBorder="1" applyAlignment="1">
      <alignment horizontal="center" vertical="center"/>
    </xf>
    <xf numFmtId="0" fontId="4" fillId="0" borderId="83" xfId="4" applyFont="1" applyBorder="1" applyAlignment="1">
      <alignment horizontal="left" vertical="center"/>
    </xf>
    <xf numFmtId="0" fontId="4" fillId="0" borderId="84" xfId="4" applyFont="1" applyBorder="1" applyAlignment="1">
      <alignment horizontal="center" vertical="center"/>
    </xf>
    <xf numFmtId="0" fontId="4" fillId="0" borderId="85" xfId="4" applyFont="1" applyBorder="1" applyAlignment="1">
      <alignment horizontal="center" vertical="center"/>
    </xf>
    <xf numFmtId="0" fontId="4" fillId="0" borderId="86" xfId="4" applyFont="1" applyBorder="1" applyAlignment="1">
      <alignment horizontal="left" vertical="center"/>
    </xf>
    <xf numFmtId="0" fontId="4" fillId="0" borderId="87" xfId="4" applyFont="1" applyBorder="1" applyAlignment="1">
      <alignment horizontal="center" vertical="center"/>
    </xf>
    <xf numFmtId="0" fontId="4" fillId="0" borderId="88" xfId="4" applyFont="1" applyBorder="1" applyAlignment="1">
      <alignment horizontal="center" vertical="center"/>
    </xf>
    <xf numFmtId="0" fontId="4" fillId="0" borderId="89" xfId="4" applyFont="1" applyBorder="1" applyAlignment="1">
      <alignment horizontal="left" vertical="center"/>
    </xf>
    <xf numFmtId="0" fontId="4" fillId="0" borderId="90" xfId="4" applyFont="1" applyBorder="1" applyAlignment="1">
      <alignment horizontal="center" vertical="center"/>
    </xf>
    <xf numFmtId="0" fontId="4" fillId="0" borderId="91" xfId="4" applyFont="1" applyBorder="1" applyAlignment="1">
      <alignment horizontal="center" vertical="center"/>
    </xf>
    <xf numFmtId="0" fontId="4" fillId="0" borderId="92" xfId="4" applyFont="1" applyBorder="1" applyAlignment="1">
      <alignment horizontal="left" vertical="center"/>
    </xf>
    <xf numFmtId="0" fontId="4" fillId="0" borderId="93" xfId="4" applyFont="1" applyBorder="1" applyAlignment="1">
      <alignment horizontal="center" vertical="center"/>
    </xf>
    <xf numFmtId="0" fontId="4" fillId="0" borderId="94" xfId="4" applyFont="1" applyBorder="1" applyAlignment="1">
      <alignment horizontal="center" vertical="center"/>
    </xf>
    <xf numFmtId="0" fontId="4" fillId="0" borderId="95" xfId="4" applyFont="1" applyBorder="1" applyAlignment="1">
      <alignment horizontal="left" vertical="center"/>
    </xf>
    <xf numFmtId="0" fontId="4" fillId="0" borderId="96" xfId="4" applyFont="1" applyBorder="1" applyAlignment="1">
      <alignment horizontal="center" vertical="center"/>
    </xf>
    <xf numFmtId="0" fontId="4" fillId="0" borderId="97" xfId="4" applyFont="1" applyBorder="1" applyAlignment="1">
      <alignment horizontal="center" vertical="center"/>
    </xf>
    <xf numFmtId="0" fontId="4" fillId="0" borderId="98" xfId="4" applyFont="1" applyBorder="1" applyAlignment="1">
      <alignment horizontal="left" vertical="center"/>
    </xf>
    <xf numFmtId="0" fontId="4" fillId="0" borderId="99" xfId="4" applyFont="1" applyBorder="1" applyAlignment="1">
      <alignment horizontal="center" vertical="center"/>
    </xf>
    <xf numFmtId="0" fontId="4" fillId="0" borderId="100" xfId="4" applyFont="1" applyBorder="1" applyAlignment="1">
      <alignment horizontal="center" vertical="center"/>
    </xf>
    <xf numFmtId="0" fontId="4" fillId="0" borderId="101" xfId="4" applyFont="1" applyBorder="1" applyAlignment="1">
      <alignment horizontal="left" vertical="center"/>
    </xf>
    <xf numFmtId="0" fontId="4" fillId="0" borderId="102" xfId="4" applyFont="1" applyBorder="1" applyAlignment="1">
      <alignment horizontal="center" vertical="center"/>
    </xf>
    <xf numFmtId="0" fontId="4" fillId="0" borderId="103" xfId="4" applyFont="1" applyBorder="1" applyAlignment="1">
      <alignment horizontal="center" vertical="center"/>
    </xf>
    <xf numFmtId="0" fontId="4" fillId="0" borderId="104" xfId="4" applyFont="1" applyBorder="1" applyAlignment="1">
      <alignment horizontal="left" vertical="center"/>
    </xf>
    <xf numFmtId="0" fontId="4" fillId="0" borderId="105" xfId="4" applyFont="1" applyBorder="1" applyAlignment="1">
      <alignment horizontal="center" vertical="center"/>
    </xf>
    <xf numFmtId="0" fontId="4" fillId="0" borderId="106" xfId="4" applyFont="1" applyBorder="1" applyAlignment="1">
      <alignment horizontal="center" vertical="center"/>
    </xf>
    <xf numFmtId="0" fontId="4" fillId="0" borderId="107" xfId="4" applyFont="1" applyBorder="1" applyAlignment="1">
      <alignment horizontal="left" vertical="center"/>
    </xf>
    <xf numFmtId="0" fontId="4" fillId="0" borderId="108" xfId="4" applyFont="1" applyBorder="1" applyAlignment="1">
      <alignment horizontal="center" vertical="center"/>
    </xf>
    <xf numFmtId="0" fontId="4" fillId="0" borderId="109" xfId="4" applyFont="1" applyBorder="1" applyAlignment="1">
      <alignment horizontal="center" vertical="center"/>
    </xf>
    <xf numFmtId="0" fontId="4" fillId="0" borderId="110" xfId="4" applyFont="1" applyBorder="1" applyAlignment="1">
      <alignment horizontal="left" vertical="center"/>
    </xf>
    <xf numFmtId="0" fontId="4" fillId="0" borderId="111" xfId="4" applyFont="1" applyBorder="1" applyAlignment="1">
      <alignment horizontal="center" vertical="center"/>
    </xf>
    <xf numFmtId="0" fontId="4" fillId="0" borderId="112" xfId="4" applyFont="1" applyBorder="1" applyAlignment="1">
      <alignment horizontal="center" vertical="center"/>
    </xf>
    <xf numFmtId="0" fontId="4" fillId="0" borderId="113" xfId="4" applyFont="1" applyBorder="1" applyAlignment="1">
      <alignment horizontal="left" vertical="center"/>
    </xf>
    <xf numFmtId="0" fontId="4" fillId="0" borderId="114" xfId="4" applyFont="1" applyBorder="1" applyAlignment="1">
      <alignment horizontal="center" vertical="center"/>
    </xf>
    <xf numFmtId="0" fontId="4" fillId="0" borderId="115" xfId="4" applyFont="1" applyBorder="1" applyAlignment="1">
      <alignment horizontal="center" vertical="center"/>
    </xf>
    <xf numFmtId="0" fontId="4" fillId="0" borderId="116" xfId="4" applyFont="1" applyBorder="1" applyAlignment="1">
      <alignment horizontal="left" vertical="center"/>
    </xf>
    <xf numFmtId="0" fontId="4" fillId="0" borderId="117" xfId="4" applyFont="1" applyBorder="1" applyAlignment="1">
      <alignment horizontal="center" vertical="center"/>
    </xf>
    <xf numFmtId="0" fontId="4" fillId="0" borderId="118" xfId="4" applyFont="1" applyBorder="1" applyAlignment="1">
      <alignment horizontal="center" vertical="center"/>
    </xf>
    <xf numFmtId="0" fontId="4" fillId="0" borderId="119" xfId="4" applyFont="1" applyBorder="1" applyAlignment="1">
      <alignment horizontal="left" vertical="center"/>
    </xf>
    <xf numFmtId="0" fontId="4" fillId="0" borderId="120" xfId="4" applyFont="1" applyBorder="1" applyAlignment="1">
      <alignment horizontal="center" vertical="center"/>
    </xf>
    <xf numFmtId="0" fontId="4" fillId="0" borderId="121" xfId="4" applyFont="1" applyBorder="1" applyAlignment="1">
      <alignment horizontal="center" vertical="center"/>
    </xf>
    <xf numFmtId="0" fontId="4" fillId="0" borderId="122" xfId="4" applyFont="1" applyBorder="1" applyAlignment="1">
      <alignment horizontal="left" vertical="center"/>
    </xf>
    <xf numFmtId="0" fontId="4" fillId="0" borderId="123" xfId="4" applyFont="1" applyBorder="1" applyAlignment="1">
      <alignment horizontal="center" vertical="center"/>
    </xf>
    <xf numFmtId="0" fontId="4" fillId="0" borderId="124" xfId="4" applyFont="1" applyBorder="1" applyAlignment="1">
      <alignment horizontal="center" vertical="center"/>
    </xf>
    <xf numFmtId="0" fontId="4" fillId="0" borderId="125" xfId="4" applyFont="1" applyBorder="1" applyAlignment="1">
      <alignment horizontal="left" vertical="center"/>
    </xf>
    <xf numFmtId="0" fontId="4" fillId="0" borderId="126" xfId="4" applyFont="1" applyBorder="1" applyAlignment="1">
      <alignment horizontal="center" vertical="center"/>
    </xf>
    <xf numFmtId="0" fontId="4" fillId="0" borderId="127" xfId="4" applyFont="1" applyBorder="1" applyAlignment="1">
      <alignment horizontal="center" vertical="center"/>
    </xf>
    <xf numFmtId="0" fontId="4" fillId="0" borderId="128" xfId="4" applyFont="1" applyBorder="1" applyAlignment="1">
      <alignment horizontal="left" vertical="center"/>
    </xf>
    <xf numFmtId="0" fontId="4" fillId="0" borderId="129" xfId="4" applyFont="1" applyBorder="1" applyAlignment="1">
      <alignment horizontal="center" vertical="center"/>
    </xf>
    <xf numFmtId="0" fontId="4" fillId="0" borderId="130" xfId="4" applyFont="1" applyBorder="1" applyAlignment="1">
      <alignment horizontal="center" vertical="center"/>
    </xf>
    <xf numFmtId="0" fontId="4" fillId="0" borderId="131" xfId="4" applyFont="1" applyBorder="1" applyAlignment="1">
      <alignment vertical="center"/>
    </xf>
    <xf numFmtId="0" fontId="4" fillId="0" borderId="132" xfId="4" applyFont="1" applyBorder="1" applyAlignment="1">
      <alignment horizontal="center" vertical="center"/>
    </xf>
    <xf numFmtId="0" fontId="4" fillId="0" borderId="133" xfId="4" applyFont="1" applyBorder="1" applyAlignment="1">
      <alignment horizontal="center" vertical="center"/>
    </xf>
    <xf numFmtId="0" fontId="4" fillId="0" borderId="134" xfId="4" applyFont="1" applyBorder="1" applyAlignment="1">
      <alignment horizontal="center" vertical="center"/>
    </xf>
    <xf numFmtId="0" fontId="4" fillId="0" borderId="135" xfId="4" applyFont="1" applyBorder="1" applyAlignment="1">
      <alignment horizontal="center" vertical="center"/>
    </xf>
    <xf numFmtId="0" fontId="4" fillId="0" borderId="136" xfId="4" applyFont="1" applyBorder="1" applyAlignment="1">
      <alignment horizontal="center" vertical="center"/>
    </xf>
    <xf numFmtId="0" fontId="4" fillId="0" borderId="137" xfId="4" applyFont="1" applyBorder="1" applyAlignment="1">
      <alignment vertical="center"/>
    </xf>
    <xf numFmtId="0" fontId="4" fillId="0" borderId="138" xfId="4" applyFont="1" applyBorder="1" applyAlignment="1">
      <alignment horizontal="center" vertical="center"/>
    </xf>
    <xf numFmtId="0" fontId="4" fillId="0" borderId="139" xfId="4" applyFont="1" applyBorder="1" applyAlignment="1">
      <alignment horizontal="center" vertical="center"/>
    </xf>
    <xf numFmtId="0" fontId="4" fillId="0" borderId="140" xfId="4" applyFont="1" applyBorder="1" applyAlignment="1">
      <alignment vertical="center"/>
    </xf>
    <xf numFmtId="0" fontId="4" fillId="0" borderId="141" xfId="4" applyFont="1" applyBorder="1" applyAlignment="1">
      <alignment horizontal="center" vertical="center"/>
    </xf>
    <xf numFmtId="0" fontId="4" fillId="0" borderId="142" xfId="4" applyFont="1" applyBorder="1" applyAlignment="1">
      <alignment horizontal="center" vertical="center"/>
    </xf>
    <xf numFmtId="0" fontId="4" fillId="0" borderId="143" xfId="4" applyFont="1" applyBorder="1" applyAlignment="1">
      <alignment vertical="center"/>
    </xf>
    <xf numFmtId="0" fontId="4" fillId="0" borderId="144" xfId="4" applyFont="1" applyBorder="1" applyAlignment="1">
      <alignment horizontal="center" vertical="center"/>
    </xf>
    <xf numFmtId="0" fontId="4" fillId="0" borderId="145" xfId="4" applyFont="1" applyBorder="1" applyAlignment="1">
      <alignment horizontal="center" vertical="center"/>
    </xf>
    <xf numFmtId="0" fontId="4" fillId="0" borderId="145" xfId="4" applyFont="1" applyBorder="1" applyAlignment="1">
      <alignment vertical="center"/>
    </xf>
    <xf numFmtId="0" fontId="4" fillId="0" borderId="145" xfId="4" applyFont="1" applyBorder="1" applyAlignment="1">
      <alignment horizontal="left" vertical="center"/>
    </xf>
    <xf numFmtId="1" fontId="15" fillId="0" borderId="0" xfId="0" applyNumberFormat="1" applyFont="1" applyAlignment="1">
      <alignment horizontal="center" vertical="center"/>
    </xf>
    <xf numFmtId="1" fontId="47" fillId="0" borderId="25" xfId="4" applyNumberFormat="1" applyFont="1" applyBorder="1" applyAlignment="1">
      <alignment horizontal="center" vertical="center"/>
    </xf>
    <xf numFmtId="0" fontId="3" fillId="0" borderId="25" xfId="4" applyBorder="1" applyAlignment="1">
      <alignment horizontal="center" vertical="center"/>
    </xf>
    <xf numFmtId="3" fontId="3" fillId="0" borderId="25" xfId="4" applyNumberFormat="1" applyBorder="1" applyAlignment="1">
      <alignment horizontal="center" vertical="center"/>
    </xf>
    <xf numFmtId="1" fontId="3" fillId="0" borderId="25" xfId="4" applyNumberFormat="1" applyBorder="1" applyAlignment="1">
      <alignment horizontal="center" vertical="center"/>
    </xf>
    <xf numFmtId="3" fontId="8" fillId="0" borderId="25" xfId="4" applyNumberFormat="1" applyFont="1" applyBorder="1" applyAlignment="1">
      <alignment horizontal="center" vertical="center"/>
    </xf>
    <xf numFmtId="165" fontId="38" fillId="7" borderId="25" xfId="4" applyNumberFormat="1" applyFont="1" applyFill="1" applyBorder="1" applyAlignment="1" applyProtection="1">
      <alignment horizontal="center" vertical="center"/>
      <protection locked="0"/>
    </xf>
    <xf numFmtId="1" fontId="38" fillId="7" borderId="25" xfId="4" applyNumberFormat="1" applyFont="1" applyFill="1" applyBorder="1" applyAlignment="1" applyProtection="1">
      <alignment horizontal="center" vertical="center"/>
      <protection locked="0"/>
    </xf>
    <xf numFmtId="10" fontId="38" fillId="7" borderId="25" xfId="4" applyNumberFormat="1" applyFont="1" applyFill="1" applyBorder="1" applyAlignment="1" applyProtection="1">
      <alignment horizontal="center" vertical="center"/>
      <protection locked="0"/>
    </xf>
    <xf numFmtId="172" fontId="38" fillId="7" borderId="25" xfId="4" applyNumberFormat="1" applyFont="1" applyFill="1" applyBorder="1" applyAlignment="1" applyProtection="1">
      <alignment horizontal="center" vertical="center"/>
      <protection locked="0"/>
    </xf>
    <xf numFmtId="0" fontId="3" fillId="0" borderId="25" xfId="4" applyBorder="1" applyAlignment="1">
      <alignment horizontal="center" vertical="center" wrapText="1"/>
    </xf>
    <xf numFmtId="0" fontId="3" fillId="0" borderId="25" xfId="4" applyBorder="1"/>
    <xf numFmtId="1" fontId="3" fillId="0" borderId="0" xfId="4" applyNumberFormat="1" applyAlignment="1">
      <alignment horizontal="center" vertical="center"/>
    </xf>
    <xf numFmtId="165" fontId="3" fillId="0" borderId="21" xfId="4" applyNumberFormat="1" applyBorder="1" applyAlignment="1">
      <alignment horizontal="center" vertical="center"/>
    </xf>
    <xf numFmtId="0" fontId="3" fillId="0" borderId="2" xfId="4" applyBorder="1" applyAlignment="1">
      <alignment horizontal="center" vertical="center" wrapText="1"/>
    </xf>
    <xf numFmtId="0" fontId="3" fillId="0" borderId="12" xfId="4" applyBorder="1" applyAlignment="1">
      <alignment horizontal="center" vertical="center"/>
    </xf>
    <xf numFmtId="0" fontId="3" fillId="0" borderId="13" xfId="4" applyBorder="1" applyAlignment="1">
      <alignment horizontal="center" vertical="center" wrapText="1"/>
    </xf>
    <xf numFmtId="165" fontId="38" fillId="7" borderId="147" xfId="4" applyNumberFormat="1" applyFont="1" applyFill="1" applyBorder="1" applyAlignment="1" applyProtection="1">
      <alignment horizontal="center" vertical="center"/>
      <protection locked="0"/>
    </xf>
    <xf numFmtId="173" fontId="8" fillId="0" borderId="25" xfId="0" applyNumberFormat="1" applyFont="1" applyBorder="1" applyAlignment="1">
      <alignment horizontal="center" vertical="center"/>
    </xf>
    <xf numFmtId="0" fontId="49" fillId="0" borderId="148" xfId="5" applyBorder="1"/>
    <xf numFmtId="0" fontId="49" fillId="0" borderId="149" xfId="5" applyBorder="1"/>
    <xf numFmtId="0" fontId="49" fillId="0" borderId="150" xfId="5" applyBorder="1"/>
    <xf numFmtId="0" fontId="41" fillId="0" borderId="147" xfId="0" applyFont="1" applyBorder="1" applyAlignment="1">
      <alignment horizontal="center" vertical="center"/>
    </xf>
    <xf numFmtId="170" fontId="41" fillId="0" borderId="147" xfId="0" applyNumberFormat="1" applyFont="1" applyBorder="1" applyAlignment="1">
      <alignment horizontal="center" vertical="center"/>
    </xf>
    <xf numFmtId="169" fontId="41" fillId="0" borderId="147" xfId="0" applyNumberFormat="1" applyFont="1" applyBorder="1" applyAlignment="1">
      <alignment horizontal="center" vertical="center"/>
    </xf>
    <xf numFmtId="0" fontId="37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168" fontId="41" fillId="0" borderId="147" xfId="0" applyNumberFormat="1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 wrapText="1"/>
    </xf>
    <xf numFmtId="171" fontId="42" fillId="0" borderId="147" xfId="0" applyNumberFormat="1" applyFont="1" applyBorder="1" applyAlignment="1">
      <alignment horizontal="center" vertical="center" wrapText="1"/>
    </xf>
    <xf numFmtId="168" fontId="42" fillId="0" borderId="147" xfId="0" applyNumberFormat="1" applyFont="1" applyBorder="1" applyAlignment="1">
      <alignment horizontal="center" vertical="center" wrapText="1"/>
    </xf>
    <xf numFmtId="165" fontId="8" fillId="9" borderId="25" xfId="0" applyNumberFormat="1" applyFont="1" applyFill="1" applyBorder="1" applyAlignment="1">
      <alignment horizontal="center" vertical="center"/>
    </xf>
    <xf numFmtId="165" fontId="8" fillId="9" borderId="25" xfId="0" applyNumberFormat="1" applyFont="1" applyFill="1" applyBorder="1" applyAlignment="1" applyProtection="1">
      <alignment horizontal="center" vertical="center"/>
      <protection locked="0"/>
    </xf>
    <xf numFmtId="0" fontId="30" fillId="0" borderId="3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41" fillId="0" borderId="147" xfId="0" applyFont="1" applyBorder="1" applyAlignment="1">
      <alignment horizontal="center" vertical="center" wrapText="1"/>
    </xf>
    <xf numFmtId="49" fontId="36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7" fillId="7" borderId="25" xfId="0" applyNumberFormat="1" applyFont="1" applyFill="1" applyBorder="1" applyAlignment="1">
      <alignment horizontal="center" vertical="center"/>
    </xf>
    <xf numFmtId="165" fontId="37" fillId="7" borderId="25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10" fontId="37" fillId="7" borderId="26" xfId="0" applyNumberFormat="1" applyFont="1" applyFill="1" applyBorder="1" applyAlignment="1">
      <alignment horizontal="center"/>
    </xf>
    <xf numFmtId="0" fontId="49" fillId="0" borderId="0" xfId="5" applyBorder="1"/>
    <xf numFmtId="0" fontId="50" fillId="0" borderId="0" xfId="0" applyFont="1"/>
    <xf numFmtId="171" fontId="51" fillId="8" borderId="25" xfId="0" applyNumberFormat="1" applyFont="1" applyFill="1" applyBorder="1" applyAlignment="1">
      <alignment horizontal="center" vertical="center"/>
    </xf>
    <xf numFmtId="0" fontId="51" fillId="0" borderId="25" xfId="0" applyFont="1" applyBorder="1"/>
    <xf numFmtId="168" fontId="51" fillId="8" borderId="25" xfId="0" applyNumberFormat="1" applyFont="1" applyFill="1" applyBorder="1" applyAlignment="1">
      <alignment horizontal="center" vertical="center"/>
    </xf>
    <xf numFmtId="9" fontId="40" fillId="0" borderId="0" xfId="2" applyFont="1" applyBorder="1" applyAlignment="1">
      <alignment horizontal="center" vertical="center"/>
    </xf>
    <xf numFmtId="1" fontId="41" fillId="0" borderId="25" xfId="0" applyNumberFormat="1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2" fontId="14" fillId="0" borderId="2" xfId="0" applyNumberFormat="1" applyFont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 vertical="center" wrapText="1"/>
    </xf>
    <xf numFmtId="49" fontId="37" fillId="7" borderId="2" xfId="0" applyNumberFormat="1" applyFont="1" applyFill="1" applyBorder="1" applyAlignment="1">
      <alignment horizontal="center" vertical="center"/>
    </xf>
    <xf numFmtId="1" fontId="37" fillId="7" borderId="2" xfId="0" applyNumberFormat="1" applyFont="1" applyFill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3" fontId="35" fillId="7" borderId="25" xfId="4" applyNumberFormat="1" applyFont="1" applyFill="1" applyBorder="1" applyAlignment="1" applyProtection="1">
      <alignment horizontal="center" vertical="center"/>
      <protection locked="0"/>
    </xf>
    <xf numFmtId="0" fontId="30" fillId="0" borderId="2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12" fillId="0" borderId="25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1" fontId="1" fillId="0" borderId="2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6" fillId="7" borderId="0" xfId="0" applyFont="1" applyFill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14" fontId="36" fillId="7" borderId="0" xfId="0" applyNumberFormat="1" applyFont="1" applyFill="1" applyAlignment="1" applyProtection="1">
      <alignment horizontal="left"/>
      <protection locked="0"/>
    </xf>
    <xf numFmtId="0" fontId="25" fillId="0" borderId="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4" fillId="0" borderId="0" xfId="0" applyFont="1" applyAlignment="1">
      <alignment horizontal="left"/>
    </xf>
    <xf numFmtId="0" fontId="10" fillId="0" borderId="25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165" fontId="36" fillId="7" borderId="26" xfId="0" applyNumberFormat="1" applyFont="1" applyFill="1" applyBorder="1" applyAlignment="1" applyProtection="1">
      <alignment horizontal="center" vertical="center"/>
      <protection locked="0"/>
    </xf>
    <xf numFmtId="165" fontId="26" fillId="0" borderId="2" xfId="0" applyNumberFormat="1" applyFont="1" applyBorder="1" applyAlignment="1" applyProtection="1">
      <alignment horizontal="center" vertical="center"/>
      <protection locked="0"/>
    </xf>
    <xf numFmtId="0" fontId="32" fillId="0" borderId="25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29" fillId="0" borderId="0" xfId="3" applyFont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21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 vertical="center" wrapText="1"/>
    </xf>
    <xf numFmtId="1" fontId="8" fillId="0" borderId="25" xfId="0" applyNumberFormat="1" applyFont="1" applyBorder="1" applyAlignment="1">
      <alignment horizontal="center" vertical="center" wrapText="1"/>
    </xf>
    <xf numFmtId="49" fontId="3" fillId="0" borderId="6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8" fillId="0" borderId="25" xfId="4" applyFont="1" applyBorder="1" applyAlignment="1">
      <alignment horizontal="center"/>
    </xf>
    <xf numFmtId="0" fontId="3" fillId="0" borderId="25" xfId="4" applyBorder="1" applyAlignment="1">
      <alignment horizontal="center"/>
    </xf>
    <xf numFmtId="0" fontId="4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629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entury Gothic"/>
        <family val="2"/>
        <scheme val="minor"/>
      </font>
      <numFmt numFmtId="3" formatCode="#,##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entury Gothic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u val="none"/>
        <color theme="1" tint="0.34998626667073579"/>
      </font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microsoft.com/office/2017/10/relationships/person" Target="persons/person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2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4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7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totalsRowShown="0" headerRowDxfId="628" dataDxfId="626" headerRowBorderDxfId="627" tableBorderDxfId="625" totalsRowBorderDxfId="624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23"/>
    <tableColumn id="18" xr3:uid="{366DBBF2-20A8-4D60-93FE-3D5A81578DB0}" name="DISCHARGE CONFIG" dataDxfId="622"/>
    <tableColumn id="19" xr3:uid="{0CEE3843-A0BB-4053-8B60-160B8D23C3A1}" name="RETURN CONFIG" dataDxfId="621"/>
    <tableColumn id="2" xr3:uid="{A907651C-1565-4CA5-8395-FBF4A48F82DF}" name="SUPPLY FAN VFD" dataDxfId="620"/>
    <tableColumn id="3" xr3:uid="{A1BA734B-6B37-4C81-BB00-B96C74EABC9E}" name="RETURN FAN" dataDxfId="619"/>
    <tableColumn id="4" xr3:uid="{1A2A118E-5D50-4E1F-8178-C4EFA7C8AFB2}" name="RETURN FAN VFD" dataDxfId="618"/>
    <tableColumn id="5" xr3:uid="{9789DB90-BB58-4C9A-84AA-733010BD2ABF}" name="ECONOMIZER" dataDxfId="617"/>
    <tableColumn id="6" xr3:uid="{7F342EF1-E9D4-4167-9F2C-FB7ECDD16AC5}" name="HEAT RECOVERY" dataDxfId="616"/>
    <tableColumn id="7" xr3:uid="{26A7AB30-2773-4D3A-B047-D020B43C98AD}" name="PREHEAT COIL" dataDxfId="615"/>
    <tableColumn id="8" xr3:uid="{698E1BCF-A037-4D50-BC22-BF171E579A40}" name="REHEAT COIL" dataDxfId="614"/>
    <tableColumn id="9" xr3:uid="{E1206B26-EAF7-482D-90C7-BD9B25AC7DF4}" name="SUPPLY SMOKE" dataDxfId="613"/>
    <tableColumn id="10" xr3:uid="{3C1D9E90-D1DB-4131-ACF1-AE091BA0F570}" name="RETURN SMOKE" dataDxfId="612"/>
    <tableColumn id="11" xr3:uid="{42FFA5A3-94D2-4855-A74E-B15F86BB7CA6}" name="SINGLE POWER" dataDxfId="611"/>
    <tableColumn id="12" xr3:uid="{A9CF85BF-E075-40CD-A3D8-8F54B4742E17}" name="UV LIGHTS" dataDxfId="610"/>
    <tableColumn id="13" xr3:uid="{E6598DEC-673D-4041-8DFD-65E1B4E86C00}" name="PRE FILTER " dataDxfId="609"/>
    <tableColumn id="14" xr3:uid="{A42CA4AB-ECDB-4F8E-9F88-493EE19C6264}" name="INTERMIDIATE FILTER" dataDxfId="608"/>
    <tableColumn id="15" xr3:uid="{7E317255-F402-493B-BA5E-6339E59F2B79}" name="ATFP DAMPERS" dataDxfId="607"/>
    <tableColumn id="16" xr3:uid="{F81087CC-928B-4AE1-A5CB-B814D3F9D515}" name="HUMIDIFIER" dataDxfId="606"/>
    <tableColumn id="17" xr3:uid="{6D8362BD-1A4B-4899-83CC-017029BF5237}" name="HEPA FILTER" dataDxfId="605"/>
    <tableColumn id="20" xr3:uid="{D10B0D3B-FA35-49FF-9292-26366F343177}" name="TYPE" dataDxfId="6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1:E32" insertRow="1" totalsRowShown="0" headerRowDxfId="603" headerRowBorderDxfId="602" tableBorderDxfId="601">
  <autoFilter ref="B31:E32" xr:uid="{182FBA77-43E2-4D73-826F-97C34E2CE94F}"/>
  <tableColumns count="4">
    <tableColumn id="1" xr3:uid="{0098A9B2-A0CF-4734-9853-75BD1E871481}" name="FCU NAME"/>
    <tableColumn id="2" xr3:uid="{E518FCA8-51C6-4D10-95C4-38BA3EB12462}" name="Cooling coil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598" dataDxfId="596" totalsRowDxfId="594" headerRowBorderDxfId="597" tableBorderDxfId="595" totalsRowBorderDxfId="593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592" totalsRowDxfId="591"/>
    <tableColumn id="3" xr3:uid="{0F7C2FD8-8C97-4466-9519-526E2650935C}" name="ROOM" dataDxfId="590" totalsRowDxfId="589"/>
    <tableColumn id="4" xr3:uid="{95B8566D-E230-43A1-95EE-79F6022A54E2}" name="ROOM _x000a_NUMBER" dataDxfId="588" totalsRowDxfId="587"/>
    <tableColumn id="5" xr3:uid="{A005166F-99F0-4977-9137-A971210A2C73}" name="AREA _x000a_(FT²)" totalsRowFunction="sum" dataDxfId="586" totalsRowDxfId="585"/>
    <tableColumn id="6" xr3:uid="{5E622632-BAB2-4765-BF3A-120496AAAC63}" name="HG_x000a_(FT)" dataDxfId="584" totalsRowDxfId="583"/>
    <tableColumn id="8" xr3:uid="{22F7FA9C-5655-4974-885B-464147533B76}" name="100%_x000a_EA" dataDxfId="582" totalsRowDxfId="581">
      <calculatedColumnFormula>VLOOKUP($K5,'UMC Table 4-A'!$A$2:$E$132,5,FALSE)</calculatedColumnFormula>
    </tableColumn>
    <tableColumn id="1" xr3:uid="{E1CF5434-3260-4C6E-8FEF-41A00D79BBCC}" name="Desired Air Balance Difference" dataDxfId="580" totalsRowDxfId="579"/>
    <tableColumn id="10" xr3:uid="{D5D3292B-72B6-490D-9D6C-1DF61B341B89}" name="LOAD _x000a_(CFM)" dataDxfId="578" totalsRowDxfId="577"/>
    <tableColumn id="12" xr3:uid="{8DD58795-6E8A-4E1F-A48E-4C781960455E}" name="1 or 0.5 CFM/SF" dataDxfId="576" totalsRowDxfId="575">
      <calculatedColumnFormula>IF(OR((K5="PATIENT CORRIDOR"),(K5="TOILET")),(E5*0.5),E5)</calculatedColumnFormula>
    </tableColumn>
    <tableColumn id="13" xr3:uid="{73844B7E-2708-4B37-B53F-155B107C314B}" name="FUNCTION OR SPACE" dataDxfId="574" totalsRowDxfId="573"/>
    <tableColumn id="14" xr3:uid="{BF1CC012-1946-46F7-9FD5-D156235B7028}" name="PRESSURE RELATIONSHIP TO ADJACENT AREAS" dataDxfId="572" totalsRowDxfId="571">
      <calculatedColumnFormula>VLOOKUP($K5,'UMC Table 4-A'!$A$2:$E$132,2,FALSE)</calculatedColumnFormula>
    </tableColumn>
    <tableColumn id="15" xr3:uid="{85B7FA28-6671-44B6-9F78-F6F689F47C29}" name="MIN OUTDOOR ACH_x000a_(AC/HR)" dataDxfId="570" totalsRowDxfId="569">
      <calculatedColumnFormula>VLOOKUP($K5,'UMC Table 4-A'!$A$2:$E$132,3,FALSE)</calculatedColumnFormula>
    </tableColumn>
    <tableColumn id="16" xr3:uid="{2DECFFEF-7BC4-4310-8A88-C1EB2C913EAF}" name="MIN OUTDOOR ACH _x000a_(CFM)" totalsRowFunction="sum" dataDxfId="568" totalsRowDxfId="567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66" totalsRowDxfId="565">
      <calculatedColumnFormula>VLOOKUP($K5,'UMC Table 4-A'!$A$2:$E$132,4,FALSE)</calculatedColumnFormula>
    </tableColumn>
    <tableColumn id="11" xr3:uid="{D0F8340D-A3A4-482A-A993-59E8E490E481}" name="MIN TOTAL ACH _x000a_(CFM)" totalsRowFunction="sum" dataDxfId="564" totalsRowDxfId="563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62" totalsRowDxfId="561">
      <calculatedColumnFormula>VLOOKUP($K5,'UMC Table 4-A'!$A$2:$E$132,5,FALSE)</calculatedColumnFormula>
    </tableColumn>
    <tableColumn id="9" xr3:uid="{D61DB494-0A8F-4ACF-83B7-9F7C3E8A654E}" name="MIN EA _x000a_(CFM)" totalsRowFunction="sum" dataDxfId="560" totalsRowDxfId="559">
      <calculatedColumnFormula>IF(G5="Yes",P5,0)</calculatedColumnFormula>
    </tableColumn>
    <tableColumn id="36" xr3:uid="{E8D8DD45-77F8-4F99-9F4B-048638BDC1F6}" name="Exhaust Category" dataDxfId="558" totalsRowDxfId="557"/>
    <tableColumn id="35" xr3:uid="{18022B78-0D85-44BF-9F19-C044E83FFDAA}" name="ASHRAE_x000a_EXHAUST UNIT" dataDxfId="556" totalsRowDxfId="555"/>
    <tableColumn id="31" xr3:uid="{C440ED2D-AFFF-48D0-9FEA-89DC4EFFCF4B}" name="OCCUPANCY CATEGORY" dataDxfId="554" totalsRowDxfId="553"/>
    <tableColumn id="32" xr3:uid="{E2523F8E-F9D6-4E6C-9621-433B3575BF74}" name="RP_x000a_(CFM/PER PERSON)" dataDxfId="552" totalsRowDxfId="551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50" totalsRowDxfId="549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8" totalsRowDxfId="547">
      <calculatedColumnFormula>VLOOKUP(TABLE4A4398[[#This Row],[OCCUPANCY CATEGORY]],Ashrae90.1Vent[#All],4,FALSE)</calculatedColumnFormula>
    </tableColumn>
    <tableColumn id="39" xr3:uid="{820EE2EB-ECBD-4ED5-A5F9-9120E8B40194}" name="Air Class" dataDxfId="546" totalsRowDxfId="545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44" totalsRowDxfId="543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42" totalsRowDxfId="541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40" totalsRowDxfId="539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8" totalsRowDxfId="537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36" totalsRowDxfId="535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34" totalsRowDxfId="533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32" totalsRowDxfId="531"/>
    <tableColumn id="43" xr3:uid="{553E57EC-275A-4C23-ABAA-EE610700AD32}" name="OS" dataDxfId="530" totalsRowDxfId="529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8" totalsRowDxfId="527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6" totalsRowDxfId="525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24" totalsRowDxfId="523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22" totalsRowDxfId="521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20" totalsRowDxfId="519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18" totalsRowDxfId="517">
      <calculatedColumnFormula>TABLE4A4398[[#This Row],[CALCULATED SA 
(CFM)]]</calculatedColumnFormula>
    </tableColumn>
    <tableColumn id="20" xr3:uid="{479DA455-B30F-4304-A6BA-437ABAF457CA}" name="DESIGN RA (CFM)" totalsRowFunction="sum" dataDxfId="516" totalsRowDxfId="515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14" totalsRowDxfId="513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12" totalsRowDxfId="511">
      <calculatedColumnFormula>AM5-AN5-AO5</calculatedColumnFormula>
    </tableColumn>
    <tableColumn id="24" xr3:uid="{AA29B302-8E46-43C4-9201-C349236070AB}" name="CFM/SF" dataDxfId="510" totalsRowDxfId="509">
      <calculatedColumnFormula>IFERROR(AL5/E5,"-")</calculatedColumnFormula>
    </tableColumn>
    <tableColumn id="25" xr3:uid="{47433AF6-25F4-4C77-BBBF-3398F6E4F534}" name="OSA PERCENT" dataDxfId="508" totalsRowDxfId="507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6" totalsRowDxfId="505">
      <calculatedColumnFormula>AM5/E5/F5*60</calculatedColumnFormula>
    </tableColumn>
    <tableColumn id="23" xr3:uid="{96423B94-F9BC-4CDA-872C-3FEFF97968EC}" name="Balance?" dataDxfId="504" totalsRowDxfId="503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02" dataDxfId="500" totalsRowDxfId="498" headerRowBorderDxfId="501" tableBorderDxfId="499" totalsRowBorderDxfId="497">
  <autoFilter ref="A4:Q6" xr:uid="{2A2B6BA6-0EAB-2349-A085-FD569408EC9D}"/>
  <tableColumns count="17">
    <tableColumn id="1" xr3:uid="{C5D95E6A-0C73-4A74-A2E8-647D33AAD0F9}" name="ZONE" totalsRowLabel="Total" dataDxfId="496" totalsRowDxfId="495"/>
    <tableColumn id="2" xr3:uid="{314B94B0-1389-404F-83E4-4AA1049F1022}" name="BASIS OF DESIGN _x000a_MANUFACTURER" dataDxfId="494" totalsRowDxfId="493"/>
    <tableColumn id="3" xr3:uid="{71BF9071-0B95-45AC-9F78-159F2BBA7A10}" name="DESCRIPTION" dataDxfId="492" totalsRowDxfId="491"/>
    <tableColumn id="4" xr3:uid="{20ABA679-9CAE-46A2-AC75-24E3416F8AE9}" name="CFM" dataDxfId="490" totalsRowDxfId="489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488" totalsRowDxfId="487">
      <calculatedColumnFormula>IFERROR((VLOOKUP(D5,'DO NOT TOUCH'!$C$9:$D$14,2,TRUE)),"TBD")</calculatedColumnFormula>
    </tableColumn>
    <tableColumn id="6" xr3:uid="{846F714B-F97C-486F-8DDA-40126A6313DE}" name="MAX TOTAL CAV PD _x000a_(IN W.G.)" dataDxfId="486" totalsRowDxfId="485">
      <calculatedColumnFormula>F4</calculatedColumnFormula>
    </tableColumn>
    <tableColumn id="7" xr3:uid="{66F138FC-ABB7-4803-8215-F15967B905F6}" name="EWT" dataDxfId="484" totalsRowDxfId="483">
      <calculatedColumnFormula>INPUT_OUTPUTS!$C$16</calculatedColumnFormula>
    </tableColumn>
    <tableColumn id="8" xr3:uid="{8FF10AD2-60ED-49B1-A888-0AD5180D7970}" name="DESIGN _x000a_LWT" dataDxfId="482" totalsRowDxfId="481">
      <calculatedColumnFormula>INPUT_OUTPUTS!$C$17</calculatedColumnFormula>
    </tableColumn>
    <tableColumn id="9" xr3:uid="{C39A4342-FBAA-4442-B7BD-4C47556C5075}" name="EAT" dataDxfId="480" totalsRowDxfId="479">
      <calculatedColumnFormula>I4</calculatedColumnFormula>
    </tableColumn>
    <tableColumn id="10" xr3:uid="{E4F5985D-BEFB-48AF-AE4D-E15C30B92458}" name="DESIGN _x000a_LAT" dataDxfId="478" totalsRowDxfId="477">
      <calculatedColumnFormula>J4</calculatedColumnFormula>
    </tableColumn>
    <tableColumn id="11" xr3:uid="{4B47405A-0987-490D-A084-8B30200952E4}" name="MIN MBH" totalsRowFunction="sum" dataDxfId="476" totalsRowDxfId="475">
      <calculatedColumnFormula>MROUND((1.08*(J5-I5)*D5)/1000,0.1)</calculatedColumnFormula>
    </tableColumn>
    <tableColumn id="12" xr3:uid="{2D26F161-8CD4-4ACB-B4CF-1593EEFA24E4}" name="AGPM" dataDxfId="474" totalsRowDxfId="473">
      <calculatedColumnFormula>(K5*1000)/(500*(G5-H5))</calculatedColumnFormula>
    </tableColumn>
    <tableColumn id="13" xr3:uid="{718A9E14-71FB-44FB-A6D9-573969303244}" name="GPM" totalsRowFunction="sum" dataDxfId="472" totalsRowDxfId="471">
      <calculatedColumnFormula>IF(L5&lt;0.5,0.5,L5)</calculatedColumnFormula>
    </tableColumn>
    <tableColumn id="14" xr3:uid="{48AA7CC7-F7E3-42B2-8E54-C0090CF73D73}" name="MAX WATER _x000a_PD (FT)" dataDxfId="470" totalsRowDxfId="469">
      <calculatedColumnFormula>N4</calculatedColumnFormula>
    </tableColumn>
    <tableColumn id="15" xr3:uid="{2F879E77-08E0-4E86-ABAD-F2EC09E4C2E0}" name="OPER _x000a_WEIGHT_x000a_(LBS)" dataDxfId="468" totalsRowDxfId="467">
      <calculatedColumnFormula>IFERROR((_xlfn.XLOOKUP(E5,'DO NOT TOUCH'!$D$9:$D$14,'DO NOT TOUCH'!$E$9:$E$14,)),"TBD")</calculatedColumnFormula>
    </tableColumn>
    <tableColumn id="16" xr3:uid="{93897DAB-EFD2-4EDF-9881-CFE7F822A346}" name="MTG _x000a_DETAIL" dataDxfId="466" totalsRowDxfId="465">
      <calculatedColumnFormula>INPUT_OUTPUTS!$C$19</calculatedColumnFormula>
    </tableColumn>
    <tableColumn id="17" xr3:uid="{66A7058D-C4C4-4FEC-BC01-C8C881CF109A}" name="REMARKS" dataDxfId="464" totalsRowDxfId="463">
      <calculatedColumnFormula>Q4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M18" totalsRowCount="1" headerRowDxfId="462" dataDxfId="460" totalsRowDxfId="458" headerRowBorderDxfId="461" tableBorderDxfId="459">
  <autoFilter ref="A4:AM17" xr:uid="{59B85608-0CD2-47F2-870C-191ADDE0C2B8}"/>
  <tableColumns count="39">
    <tableColumn id="1" xr3:uid="{13F107CA-E395-403B-99B4-65D454865F61}" name="Zone" totalsRowLabel="TOTAL" dataDxfId="457" totalsRowDxfId="456"/>
    <tableColumn id="3" xr3:uid="{F80D1C16-C418-4B4D-A569-08FF0C9FD9A1}" name="Room Number" dataDxfId="455" totalsRowDxfId="454"/>
    <tableColumn id="4" xr3:uid="{216886B4-41A5-46E5-957A-D9BC5211544A}" name="Room" totalsRowFunction="count" dataDxfId="453" totalsRowDxfId="452"/>
    <tableColumn id="6" xr3:uid="{FAEF0092-9267-4494-BA56-051894961217}" name="AREA (FT²)" totalsRowFunction="sum" dataDxfId="451" totalsRowDxfId="450"/>
    <tableColumn id="2" xr3:uid="{76ECF316-2031-47B2-9965-A43A4AD098DC}" name="Desired Room Balance" totalsRowFunction="sum" dataDxfId="449" totalsRowDxfId="448"/>
    <tableColumn id="18" xr3:uid="{85D8CA67-8705-42BF-AC57-76DEABA6CFF8}" name="Exhaust Units" dataDxfId="447" totalsRowDxfId="446"/>
    <tableColumn id="7" xr3:uid="{22DEA9EB-6829-4F94-A62D-70E9DB4118C6}" name="OFFICE STANDARD _x000a_(CFM)" dataDxfId="445" totalsRowDxfId="444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43" totalsRowDxfId="442"/>
    <tableColumn id="17" xr3:uid="{AB90DFB5-D9F7-4991-B79C-73953940B8A9}" name="Exhaust Category" dataDxfId="441" totalsRowDxfId="440"/>
    <tableColumn id="5" xr3:uid="{D0FC3464-26A6-4825-B194-880E47740C1D}" name="Occupancy Category" dataDxfId="439" totalsRowDxfId="438"/>
    <tableColumn id="10" xr3:uid="{776D97F5-1DFD-4EF3-AB3B-86F72E19D6E4}" name="RP_x000a_(CFM/PER PERSON)" dataDxfId="437" totalsRowDxfId="436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35" totalsRowDxfId="434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33" totalsRowDxfId="432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31" totalsRowDxfId="430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429" totalsRowDxfId="428">
      <calculatedColumnFormula>Ahu_Ashrae_Generic[[#This Row],[RA
(CFM/FT²)]]*Ahu_Ashrae_Generic[[#This Row],[AREA (FT²)]]</calculatedColumnFormula>
    </tableColumn>
    <tableColumn id="12" xr3:uid="{A2512039-1BFD-4637-9149-E45B36F1BCBD}" name="Air Class" dataDxfId="427" totalsRowDxfId="426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25" totalsRowDxfId="424">
      <calculatedColumnFormula>CEILING((M5/1000)*D5,1)</calculatedColumnFormula>
    </tableColumn>
    <tableColumn id="20" xr3:uid="{D88BB767-D9CE-4502-9AE5-38238841E676}" name="DIVERSITY (D)" dataDxfId="423" totalsRowDxfId="422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21" totalsRowDxfId="420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19" totalsRowDxfId="418"/>
    <tableColumn id="21" xr3:uid="{5A56127A-64F8-417C-A88F-2F9F5C0817E1}" name="OUTSIDE AIRFLOW (CFM) (Vot)" totalsRowFunction="sum" dataDxfId="417" totalsRowDxfId="416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15" totalsRowDxfId="414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13" totalsRowDxfId="412"/>
    <tableColumn id="24" xr3:uid="{44A19890-0B61-48FE-AEE6-B4AF44D95889}" name="Zone OA (Voz)" dataDxfId="411" totalsRowDxfId="410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09" totalsRowDxfId="408"/>
    <tableColumn id="33" xr3:uid="{84D3A249-3F9E-4505-B5AC-4AF46EFA1A96}" name="CO2 SENSOR" dataDxfId="407" totalsRowDxfId="406">
      <calculatedColumnFormula array="1">co2requirement(Ahu_Ashrae_Generic[[#This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05" totalsRowDxfId="404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03" totalsRowDxfId="402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01" totalsRowDxfId="400"/>
    <tableColumn id="31" xr3:uid="{04EA3EE2-EB22-497B-87B1-DCFA9B5E63BE}" name="Exhausted?" dataDxfId="399" totalsRowDxfId="398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397" totalsRowDxfId="396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395" totalsRowDxfId="394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393" totalsRowDxfId="392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391" totalsRowDxfId="390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389" totalsRowDxfId="388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387" totalsRowDxfId="386">
      <calculatedColumnFormula>Ahu_Ashrae_Generic[[#This Row],[Calculated VAV Max CFM]]</calculatedColumnFormula>
    </tableColumn>
    <tableColumn id="26" xr3:uid="{C209B658-68EC-4534-8D10-A67298439FE6}" name="DESIGN RA (CFM)" totalsRowFunction="sum" dataDxfId="385" totalsRowDxfId="384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383" totalsRowDxfId="382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381" totalsRowDxfId="380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379" dataDxfId="377" totalsRowDxfId="375" headerRowBorderDxfId="378" tableBorderDxfId="376" totalsRowBorderDxfId="374">
  <autoFilter ref="A4:S6" xr:uid="{13D566E9-CE9D-4920-9557-440C01DE1A40}"/>
  <tableColumns count="19">
    <tableColumn id="1" xr3:uid="{F4100601-C8F7-4EDA-B9ED-EC5144A4622B}" name="ZONE" totalsRowLabel="Total" dataDxfId="373" totalsRowDxfId="372"/>
    <tableColumn id="2" xr3:uid="{DE711A04-3BAB-4400-94F9-9EA1A3D93724}" name="BASIS OF DESIGN _x000a_MANUFACTURER" dataDxfId="371" totalsRowDxfId="370"/>
    <tableColumn id="3" xr3:uid="{5EFC2877-1E13-4BC7-9997-881F4F723359}" name="DESCRIPTION" dataDxfId="369" totalsRowDxfId="368"/>
    <tableColumn id="18" xr3:uid="{4BD82A36-B59C-4680-BDCB-C1D5CE6D8206}" name="MIN VAV_x000a_(CFM)" dataDxfId="367" totalsRowDxfId="366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365" totalsRowDxfId="364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363" totalsRowDxfId="362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361" totalsRowDxfId="360">
      <calculatedColumnFormula>G4</calculatedColumnFormula>
    </tableColumn>
    <tableColumn id="19" xr3:uid="{5F3FB950-6412-4753-A80D-B928E2E9B62C}" name="HEATING AIRFLOW _x000a_(CFM)" dataDxfId="359" totalsRowDxfId="358">
      <calculatedColumnFormula>AHU_VAV_SCHEDULE[[#This Row],[MIN VAV
(CFM)]]</calculatedColumnFormula>
    </tableColumn>
    <tableColumn id="7" xr3:uid="{252B9BF8-54B1-493D-9221-BD358C10E426}" name="EWT" dataDxfId="357" totalsRowDxfId="356">
      <calculatedColumnFormula>INPUT_OUTPUTS!$C$16</calculatedColumnFormula>
    </tableColumn>
    <tableColumn id="8" xr3:uid="{E16AE38C-7652-4771-A602-4043B581B8CE}" name="DESIGN _x000a_LWT" dataDxfId="355" totalsRowDxfId="354">
      <calculatedColumnFormula>INPUT_OUTPUTS!$C$17</calculatedColumnFormula>
    </tableColumn>
    <tableColumn id="9" xr3:uid="{494A5CA5-FC2F-4016-9EDA-AAD0074B0288}" name="EAT" dataDxfId="353" totalsRowDxfId="352">
      <calculatedColumnFormula>K4</calculatedColumnFormula>
    </tableColumn>
    <tableColumn id="10" xr3:uid="{7B534454-B13B-4823-B389-688DB1FFC0C2}" name="DESIGN _x000a_LAT" dataDxfId="351" totalsRowDxfId="350">
      <calculatedColumnFormula>L4</calculatedColumnFormula>
    </tableColumn>
    <tableColumn id="11" xr3:uid="{58C190FA-9339-4475-8FE4-B94254008B39}" name="MIN MBH" totalsRowFunction="sum" dataDxfId="349" totalsRowDxfId="348">
      <calculatedColumnFormula>MROUND((1.08*(L5-K5)*AHU_VAV_SCHEDULE[[#This Row],[HEATING AIRFLOW 
(CFM)]])/1000,0.1)</calculatedColumnFormula>
    </tableColumn>
    <tableColumn id="12" xr3:uid="{E8FC4A04-BE1B-467E-A94D-1BC0BAFF2FAC}" name="AGPM" dataDxfId="347" totalsRowDxfId="346">
      <calculatedColumnFormula>(M5*1000)/(500*(I5-J5))</calculatedColumnFormula>
    </tableColumn>
    <tableColumn id="13" xr3:uid="{AAA466EF-B5D0-49B1-A9E7-E101103D64B4}" name="GPM" totalsRowFunction="sum" dataDxfId="345" totalsRowDxfId="344">
      <calculatedColumnFormula>IF(N5&lt;0.5,0.5,N5)</calculatedColumnFormula>
    </tableColumn>
    <tableColumn id="14" xr3:uid="{8B37A8C5-27D0-4D67-9351-B38D9137444F}" name="MAX WATER _x000a_PD (FT)" dataDxfId="343" totalsRowDxfId="342">
      <calculatedColumnFormula>P4</calculatedColumnFormula>
    </tableColumn>
    <tableColumn id="15" xr3:uid="{CE1AD8A3-6CC9-4182-A598-A96DC629A332}" name="OPER _x000a_WEIGHT_x000a_(LBS)" dataDxfId="341" totalsRowDxfId="340">
      <calculatedColumnFormula>IFERROR((_xlfn.XLOOKUP(F5,'DO NOT TOUCH'!$D$9:$D$14,'DO NOT TOUCH'!$E$9:$E$14,)),"TBD")</calculatedColumnFormula>
    </tableColumn>
    <tableColumn id="16" xr3:uid="{46061A8B-CF07-404A-89CF-B3DC053B9D47}" name="MTG _x000a_DETAIL" dataDxfId="339" totalsRowDxfId="338">
      <calculatedColumnFormula>INPUT_OUTPUTS!$C$19</calculatedColumnFormula>
    </tableColumn>
    <tableColumn id="17" xr3:uid="{AFA49697-1C1E-4B56-9982-63047E73069E}" name="REMARKS" dataDxfId="337" totalsRowDxfId="336">
      <calculatedColumnFormula>S4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35" headerRowBorderDxfId="334" tableBorderDxfId="333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B13" totalsRowCount="1" headerRowDxfId="332" dataDxfId="330" headerRowBorderDxfId="331" tableBorderDxfId="329">
  <autoFilter ref="A11:BB12" xr:uid="{E6D9D33A-2DE5-364A-B78C-5DD7A614D29B}"/>
  <tableColumns count="54">
    <tableColumn id="1" xr3:uid="{75084425-A44B-8E45-87AE-08AECD33E09D}" name="TAG" totalsRowLabel="Total" dataDxfId="328" totalsRowDxfId="327"/>
    <tableColumn id="2" xr3:uid="{C741F4EF-D022-3147-B8E2-8A68ED8EF0CC}" name="(CFM)" totalsRowFunction="sum" dataDxfId="326" totalsRowDxfId="325">
      <calculatedColumnFormula>SUM(#REF!)*INPUT_OUTPUTS!$C$18</calculatedColumnFormula>
    </tableColumn>
    <tableColumn id="4" xr3:uid="{8F33E354-148B-E049-A9AB-2FEBF1D2ABCF}" name="(CFM)2" dataDxfId="324" totalsRowDxfId="323">
      <calculatedColumnFormula>SUM(#REF!)*INPUT_OUTPUTS!$C$18</calculatedColumnFormula>
    </tableColumn>
    <tableColumn id="6" xr3:uid="{44289BD7-7B7A-5040-A9C3-A81E708605BA}" name="(˚F db)" dataDxfId="322" totalsRowDxfId="321"/>
    <tableColumn id="7" xr3:uid="{A118C93B-9473-8340-A213-7536CC01FA69}" name="(˚F wb)" dataDxfId="320" totalsRowDxfId="319"/>
    <tableColumn id="8" xr3:uid="{BA4E1C0D-A98F-C94F-B5DE-2C36AC9D0BA3}" name="(CFM)3" dataDxfId="318" totalsRowDxfId="317">
      <calculatedColumnFormula>SUM(#REF!)*INPUT_OUTPUTS!$C$18</calculatedColumnFormula>
    </tableColumn>
    <tableColumn id="9" xr3:uid="{8E2A683D-7B4C-954E-A75A-56B4A8A15F0B}" name="(˚F db)4" dataDxfId="316" totalsRowDxfId="315">
      <calculatedColumnFormula>INPUT_OUTPUTS!$C$8</calculatedColumnFormula>
    </tableColumn>
    <tableColumn id="10" xr3:uid="{D83D5AD6-51F5-5E4B-BE3C-C238ECC50CFF}" name="(˚F wb)5" dataDxfId="314" totalsRowDxfId="313">
      <calculatedColumnFormula>INPUT_OUTPUTS!$C$9</calculatedColumnFormula>
    </tableColumn>
    <tableColumn id="11" xr3:uid="{58DDBF84-EFFA-734F-B069-FD929AE8505B}" name="(CFM)6" dataDxfId="312" totalsRowDxfId="311">
      <calculatedColumnFormula>AHU_Schedules[[#This Row],[(CFM)3]]</calculatedColumnFormula>
    </tableColumn>
    <tableColumn id="12" xr3:uid="{7D7925B1-33E7-A84F-AAEC-67A01BBE986C}" name="(˚F db)7" dataDxfId="310" totalsRowDxfId="309">
      <calculatedColumnFormula>INPUT_OUTPUTS!$C$10</calculatedColumnFormula>
    </tableColumn>
    <tableColumn id="13" xr3:uid="{9E21E0BF-E9C5-C54C-9B8C-005C0935E109}" name="(˚F wb)8" dataDxfId="308" totalsRowDxfId="307">
      <calculatedColumnFormula>INPUT_OUTPUTS!$C$11</calculatedColumnFormula>
    </tableColumn>
    <tableColumn id="14" xr3:uid="{AC23D981-3B01-5147-97B6-3252A7FC953B}" name="(˚F db)9" dataDxfId="306" totalsRowDxfId="305">
      <calculatedColumnFormula>INPUT_OUTPUTS!$F$8</calculatedColumnFormula>
    </tableColumn>
    <tableColumn id="15" xr3:uid="{DB54E7DD-3A47-6447-A89B-94C85E52BE7D}" name="(CFM)10" dataDxfId="304" totalsRowDxfId="303">
      <calculatedColumnFormula>C12+F12-B12</calculatedColumnFormula>
    </tableColumn>
    <tableColumn id="16" xr3:uid="{4FEC2D7C-9758-744F-A9BF-FBA46547E062}" name="(˚F db)11" dataDxfId="302" totalsRowDxfId="301">
      <calculatedColumnFormula array="1">MixedAirTemp(AHU_Schedules[[#This Row],[(CFM)3]],AHU_Schedules[[#This Row],[(˚F db)4]],(AHU_Schedules[[#This Row],[(CFM)2]]-AHU_Schedules[[#This Row],[(CFM)10]]),AHU_Schedules[[#This Row],[(˚F db)]])</calculatedColumnFormula>
    </tableColumn>
    <tableColumn id="17" xr3:uid="{B005BDD5-39CF-2B47-842F-C982BA9FC7E1}" name="(˚F wb)12" dataDxfId="300" totalsRowDxfId="299">
      <calculatedColumnFormula array="1">MixedAirTemp(AHU_Schedules[[#This Row],[(CFM)3]],AHU_Schedules[[#This Row],[(˚F wb)5]],(AHU_Schedules[[#This Row],[(CFM)2]]-AHU_Schedules[[#This Row],[(CFM)10]]),AHU_Schedules[[#This Row],[(˚F wb)]])</calculatedColumnFormula>
    </tableColumn>
    <tableColumn id="18" xr3:uid="{5AC4E564-0F72-0E49-B041-B5DE3FD4DD18}" name="(h)" dataDxfId="298" totalsRowDxfId="297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296" totalsRowDxfId="295"/>
    <tableColumn id="20" xr3:uid="{069031AB-30B0-304F-BA24-44B4C6E6101C}" name="(˚F wb)14" dataDxfId="294" totalsRowDxfId="293"/>
    <tableColumn id="21" xr3:uid="{1EA24A2B-BE77-6945-9098-6C4501A9902F}" name="(h)15" dataDxfId="292" totalsRowDxfId="291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290" totalsRowDxfId="289">
      <calculatedColumnFormula>B12*1.085*(N12-Q12)</calculatedColumnFormula>
    </tableColumn>
    <tableColumn id="23" xr3:uid="{02C21CA2-732A-8C4C-93ED-640017544BD3}" name="(Btu/hr)16" dataDxfId="288" totalsRowDxfId="287">
      <calculatedColumnFormula>4.5*B12*(P12-S12)</calculatedColumnFormula>
    </tableColumn>
    <tableColumn id="24" xr3:uid="{80183150-6317-2C46-B9FB-5600693E1D79}" name="(Tons)" dataDxfId="286" totalsRowDxfId="285">
      <calculatedColumnFormula>IF(U12&lt;T12,"INVALID POINT",U12/12000)</calculatedColumnFormula>
    </tableColumn>
    <tableColumn id="25" xr3:uid="{8AF1DEDF-1446-A54C-A718-1F4A80DCED1F}" name="(˚F db)17" dataDxfId="284" totalsRowDxfId="283">
      <calculatedColumnFormula>INPUT_OUTPUTS!$C$14</calculatedColumnFormula>
    </tableColumn>
    <tableColumn id="26" xr3:uid="{30713AF6-10A7-A640-9A81-7C9C656F28C6}" name="(˚F db)18" dataDxfId="282" totalsRowDxfId="281">
      <calculatedColumnFormula>INPUT_OUTPUTS!$C$15</calculatedColumnFormula>
    </tableColumn>
    <tableColumn id="27" xr3:uid="{07E9B9A3-68BD-0040-B64A-445B4F7DB78B}" name="GPM" totalsRowFunction="sum" dataDxfId="280" totalsRowDxfId="279">
      <calculatedColumnFormula>U12/(500*(X12-W12))</calculatedColumnFormula>
    </tableColumn>
    <tableColumn id="28" xr3:uid="{63A1C04A-F0C1-344B-9C91-CDCBB09CC808}" name="(˚F db)19" dataDxfId="278" totalsRowDxfId="277">
      <calculatedColumnFormula>D12*((C12-M12)/B12) + J12*(F12/B12)</calculatedColumnFormula>
    </tableColumn>
    <tableColumn id="29" xr3:uid="{6B8C516D-DE70-BF40-8E5C-0B23062187E5}" name="(˚F wb)20" dataDxfId="276" totalsRowDxfId="275">
      <calculatedColumnFormula>TRUNC(E12*((C12-M12)/B12) + K12*(F12/B12),1)</calculatedColumnFormula>
    </tableColumn>
    <tableColumn id="30" xr3:uid="{045EE11E-9647-ED4C-9652-8752BBE74982}" name="(h)21" dataDxfId="274" totalsRowDxfId="273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272" totalsRowDxfId="271">
      <calculatedColumnFormula>AHU_Schedules[[#This Row],[(˚F db)13]]</calculatedColumnFormula>
    </tableColumn>
    <tableColumn id="32" xr3:uid="{5E7C32E8-28E9-554C-93A3-4ED479273F5C}" name="(˚F wb)23" dataDxfId="270" totalsRowDxfId="269">
      <calculatedColumnFormula>AHU_Schedules[[#This Row],[(˚F wb)14]]</calculatedColumnFormula>
    </tableColumn>
    <tableColumn id="33" xr3:uid="{7EB81F19-A30A-5844-B465-95995C2169F1}" name="(h)24" dataDxfId="268" totalsRowDxfId="267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266" totalsRowDxfId="265">
      <calculatedColumnFormula>B12*1.085*(Z12-AC12)</calculatedColumnFormula>
    </tableColumn>
    <tableColumn id="38" xr3:uid="{3C9101C2-66E5-5844-8571-55FD8B0FA8E4}" name="(Btu/hr)29" dataDxfId="264" totalsRowDxfId="263">
      <calculatedColumnFormula>4.5*B12*(AB12-AE12)</calculatedColumnFormula>
    </tableColumn>
    <tableColumn id="39" xr3:uid="{611DF507-C49C-8E40-9B22-204394B4D484}" name="(Tons)30" dataDxfId="262" totalsRowDxfId="261">
      <calculatedColumnFormula>IF(AG12&lt;AF12,"INVALID POINT",AG12/12000)</calculatedColumnFormula>
    </tableColumn>
    <tableColumn id="40" xr3:uid="{8D69DAB9-C665-1C40-8BEE-2F67013BDA9E}" name="(˚F db)31" dataDxfId="260" totalsRowDxfId="259">
      <calculatedColumnFormula>INPUT_OUTPUTS!$C$14</calculatedColumnFormula>
    </tableColumn>
    <tableColumn id="41" xr3:uid="{2C7A8B9E-09E2-C245-8AD4-9B511603B988}" name="(˚F db)32" dataDxfId="258" totalsRowDxfId="257">
      <calculatedColumnFormula>INPUT_OUTPUTS!$C$15</calculatedColumnFormula>
    </tableColumn>
    <tableColumn id="42" xr3:uid="{97B72D8E-BA89-4E4A-B5D1-F02C61433D68}" name="GPM33" totalsRowFunction="sum" dataDxfId="256" totalsRowDxfId="255">
      <calculatedColumnFormula>AG12/(500*(AJ12-AI12))</calculatedColumnFormula>
    </tableColumn>
    <tableColumn id="43" xr3:uid="{EE7A438B-ECC2-DF4B-9129-EA55728EFC2E}" name="(Tons)34" totalsRowFunction="sum" dataDxfId="254" totalsRowDxfId="253">
      <calculatedColumnFormula>MAX(AH12,V12)</calculatedColumnFormula>
    </tableColumn>
    <tableColumn id="44" xr3:uid="{B68CC7E9-570D-A84E-8670-D3C2DEA54479}" name="(CFM)35" dataDxfId="252" totalsRowDxfId="251">
      <calculatedColumnFormula>B12/AH12</calculatedColumnFormula>
    </tableColumn>
    <tableColumn id="59" xr3:uid="{2F2BA6E3-EE55-BA45-94DB-4A9361068B22}" name="GPM MAX" totalsRowFunction="sum" dataDxfId="250" totalsRowDxfId="249">
      <calculatedColumnFormula>MAX(AHU_Schedules[[#This Row],[GPM33]],AHU_Schedules[[#This Row],[GPM]])</calculatedColumnFormula>
    </tableColumn>
    <tableColumn id="45" xr3:uid="{033D6B36-8B19-EB4B-A1E7-E7585C21489B}" name="(CFM)36" dataDxfId="248" totalsRowDxfId="247">
      <calculatedColumnFormula>IF(AHU_Schedules[[#This Row],[(˚F db)9]]&lt;35,B12,"NOT NEEDED")</calculatedColumnFormula>
    </tableColumn>
    <tableColumn id="46" xr3:uid="{940C5796-789D-5B4A-9FCD-445173CBE38B}" name="(˚F db)37" dataDxfId="246" totalsRowDxfId="245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44" totalsRowDxfId="243">
      <calculatedColumnFormula>IF(AHU_Schedules[[#This Row],[(˚F db)9]]&lt;35,38,"NOT NEEDED")</calculatedColumnFormula>
    </tableColumn>
    <tableColumn id="48" xr3:uid="{F5FF0CC7-9CD6-DC4B-9AC8-6CF9532FE75F}" name="(MBH)" totalsRowFunction="sum" dataDxfId="242" totalsRowDxfId="241">
      <calculatedColumnFormula>IF(AHU_Schedules[[#This Row],[(˚F db)9]]&lt;35,AO12*1.085*(AQ12-AP12)/1000,"NOT NEEDED")</calculatedColumnFormula>
    </tableColumn>
    <tableColumn id="49" xr3:uid="{41191CD7-30B2-EE4D-850D-B2169746F6D6}" name="(˚F db)39" dataDxfId="240" totalsRowDxfId="239">
      <calculatedColumnFormula>IF(AHU_Schedules[[#This Row],[(˚F db)9]]&lt;35,INPUT_OUTPUTS!$C$16,"NOT NEEDED")</calculatedColumnFormula>
    </tableColumn>
    <tableColumn id="50" xr3:uid="{4D3CE10E-9198-0E44-849F-6C7B4A36B8CE}" name="(˚F db)40" dataDxfId="238" totalsRowDxfId="237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36" totalsRowDxfId="235">
      <calculatedColumnFormula>IF(AHU_Schedules[[#This Row],[(˚F db)9]]&lt;35,(AR12*1000)/(500*(AS12-AT12)),"NOT NEEDED")</calculatedColumnFormula>
    </tableColumn>
    <tableColumn id="34" xr3:uid="{7FA025E3-2A8E-4918-AE49-513BEFF26646}" name="CFM" dataDxfId="234" totalsRowDxfId="233"/>
    <tableColumn id="54" xr3:uid="{D0D7EAE6-3EA2-E244-8B8D-01899554629D}" name="(˚F db)43" dataDxfId="232" totalsRowDxfId="231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30" totalsRowDxfId="229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28" totalsRowDxfId="227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26" totalsRowDxfId="225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24" totalsRowDxfId="223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22" totalsRowDxfId="221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20" dataDxfId="219" totalsRowDxfId="217" tableBorderDxfId="218">
  <autoFilter ref="A5:AB8" xr:uid="{59B85608-0CD2-47F2-870C-191ADDE0C2B8}"/>
  <tableColumns count="28">
    <tableColumn id="3" xr3:uid="{80B2F9E7-1259-4673-96AB-0F4F83EB3D46}" name="Room Number" dataDxfId="216" totalsRowDxfId="215"/>
    <tableColumn id="4" xr3:uid="{0BD09193-37D6-4F7C-BCAE-45CFF2C8A151}" name="Room" totalsRowFunction="count" dataDxfId="214" totalsRowDxfId="213"/>
    <tableColumn id="6" xr3:uid="{E95CEC16-C2FC-4214-A0EB-7A08FDEAF0F9}" name="AREA _x000a_(FT²)" totalsRowFunction="sum" dataDxfId="212" totalsRowDxfId="211"/>
    <tableColumn id="2" xr3:uid="{465D17D5-DC35-4BDD-AC35-043CF1C7357C}" name="Desired Room Balance" dataDxfId="210" totalsRowDxfId="209"/>
    <tableColumn id="18" xr3:uid="{6DA2FAE7-17CA-4FE0-8359-8C4FF34595A6}" name="Exhaust Units" dataDxfId="208" totalsRowDxfId="207"/>
    <tableColumn id="7" xr3:uid="{583FAE05-9F7D-48E5-BEF5-13CEE070C1D5}" name="OFFICE STANDARD _x000a_(CFM)" dataDxfId="206" totalsRowDxfId="205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04" totalsRowDxfId="203"/>
    <tableColumn id="17" xr3:uid="{9950D068-2B64-41F9-A84D-F7BB46AA37B4}" name="Exhaust Category" dataDxfId="202" totalsRowDxfId="201"/>
    <tableColumn id="5" xr3:uid="{593AD6F9-FDB5-4388-9BB0-C939DB13E66D}" name="Occupancy Category" dataDxfId="200" totalsRowDxfId="199"/>
    <tableColumn id="10" xr3:uid="{7266144B-9C83-4090-884A-1BB5A987F5A7}" name="RP_x000a_(CFM/PER PERSON)" dataDxfId="198" totalsRowDxfId="197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96" totalsRowDxfId="195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94" totalsRowDxfId="193">
      <calculatedColumnFormula>VLOOKUP(Ahu_Ashrae_sheet[[#This Row],[Occupancy Category]],Ashrae90.1Vent[#All],4,FALSE)</calculatedColumnFormula>
    </tableColumn>
    <tableColumn id="12" xr3:uid="{B627EA84-4F12-4D9C-9B2E-8C8B23AA47EF}" name="Air Class" dataDxfId="192" totalsRowDxfId="191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90" totalsRowDxfId="189">
      <calculatedColumnFormula>CEILING((L6/1000)*C6,1)</calculatedColumnFormula>
    </tableColumn>
    <tableColumn id="14" xr3:uid="{F57C4FE9-D689-4840-BE7F-8AAC8AF32E90}" name="Vbz" dataDxfId="188" totalsRowDxfId="187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86" totalsRowDxfId="185"/>
    <tableColumn id="16" xr3:uid="{E815DDA4-80F1-4B30-89A0-831145D8A65F}" name="Voz" dataDxfId="184" totalsRowDxfId="183">
      <calculatedColumnFormula>O6/P6</calculatedColumnFormula>
    </tableColumn>
    <tableColumn id="21" xr3:uid="{3796FC97-1024-4F8D-AF4A-C1BCEDC0304A}" name="OUTSIDE AIRFLOW (CFM) (Vot)" totalsRowFunction="sum" dataDxfId="182" totalsRowDxfId="181">
      <calculatedColumnFormula>Ahu_Ashrae_sheet[[#This Row],[Voz]]</calculatedColumnFormula>
    </tableColumn>
    <tableColumn id="23" xr3:uid="{D05FF6A7-2E60-430B-AE82-815C132F1D10}" name="Misc Exhaust From Room" dataDxfId="180" totalsRowDxfId="179"/>
    <tableColumn id="20" xr3:uid="{13FA33DD-5792-4573-864F-06398F2084BA}" name="Exhausted?" dataDxfId="178" totalsRowDxfId="177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76" totalsRowDxfId="175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74" totalsRowDxfId="173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72" totalsRowDxfId="171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70" totalsRowDxfId="169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68" totalsRowDxfId="167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66" totalsRowDxfId="165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64" totalsRowDxfId="163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62" totalsRowDxfId="161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3" totalsRowCount="1" headerRowDxfId="160" dataDxfId="158" headerRowBorderDxfId="159" tableBorderDxfId="157">
  <autoFilter ref="A11:AC12" xr:uid="{E6D9D33A-2DE5-364A-B78C-5DD7A614D29B}"/>
  <tableColumns count="29">
    <tableColumn id="1" xr3:uid="{8F0B1537-0A79-4F26-BBC1-ABDEF31A2274}" name="TAG" totalsRowLabel="Total" dataDxfId="156" totalsRowDxfId="155"/>
    <tableColumn id="2" xr3:uid="{15B37BBD-9CA2-48E8-AAF4-88EB052224A5}" name="Supply CFM" totalsRowFunction="sum" dataDxfId="154" totalsRowDxfId="153"/>
    <tableColumn id="4" xr3:uid="{EEAD63A0-2D37-4A3A-A2D2-44BD3554907A}" name="Return CFM" dataDxfId="152" totalsRowDxfId="151"/>
    <tableColumn id="6" xr3:uid="{FD957343-AFCA-4D1E-A1D9-8226DF6BCE02}" name="Return Drybulb" dataDxfId="150" totalsRowDxfId="149"/>
    <tableColumn id="7" xr3:uid="{FD210E09-D3A7-4829-BEFF-304D3716F3E8}" name="Return Wetbulb" dataDxfId="148" totalsRowDxfId="147"/>
    <tableColumn id="8" xr3:uid="{58D5B86B-6B27-4C4F-9592-0F8B85897FC1}" name="Outside Air CFM" dataDxfId="146" totalsRowDxfId="145"/>
    <tableColumn id="9" xr3:uid="{A71BD3A8-43D2-48B5-9554-98B4EEE172A4}" name="Outside Air DB" dataDxfId="144" totalsRowDxfId="143">
      <calculatedColumnFormula>INPUT_OUTPUTS!$C$8</calculatedColumnFormula>
    </tableColumn>
    <tableColumn id="10" xr3:uid="{962517D7-650F-477B-A57C-B2CC27B9D32B}" name="Outside Air WB" dataDxfId="142" totalsRowDxfId="141">
      <calculatedColumnFormula>INPUT_OUTPUTS!$C$9</calculatedColumnFormula>
    </tableColumn>
    <tableColumn id="14" xr3:uid="{55948B91-497F-4F3F-9D0B-F5D2DD6AD125}" name="Winter Temp" dataDxfId="140" totalsRowDxfId="139">
      <calculatedColumnFormula>INPUT_OUTPUTS!$F$8</calculatedColumnFormula>
    </tableColumn>
    <tableColumn id="15" xr3:uid="{0D7DF5B1-BA71-4D3D-959F-20B1F51EED47}" name="Exfiltration CFM" dataDxfId="138" totalsRowDxfId="137">
      <calculatedColumnFormula>C12+F12-B12</calculatedColumnFormula>
    </tableColumn>
    <tableColumn id="16" xr3:uid="{415DDCF1-FAFC-4669-99BA-877DB46ACF79}" name="Mixed air DB" dataDxfId="136" totalsRowDxfId="135">
      <calculatedColumnFormula array="1">MixedAirTemp(FCU_Schedules[[#This Row],[Outside Air CFM]],FCU_Schedules[[#This Row],[Outside Air DB]],(FCU_Schedules[[#This Row],[Return CFM]]-FCU_Schedules[[#This Row],[Exfiltration CFM]]),FCU_Schedules[[#This Row],[Return Drybulb]])</calculatedColumnFormula>
    </tableColumn>
    <tableColumn id="17" xr3:uid="{0BB19E89-8C4B-496F-A356-FCBB6AF7D5E7}" name="Mixed air WB" dataDxfId="134" totalsRowDxfId="133">
      <calculatedColumnFormula array="1">MixedAirTemp(FCU_Schedules[[#This Row],[Outside Air CFM]],FCU_Schedules[[#This Row],[Outside Air WB]],(FCU_Schedules[[#This Row],[Return CFM]]-FCU_Schedules[[#This Row],[Exfiltration CFM]]),FCU_Schedules[[#This Row],[Return Wetbulb]])</calculatedColumnFormula>
    </tableColumn>
    <tableColumn id="18" xr3:uid="{EAE63929-234F-44E8-A139-6D00809F5AB5}" name="Mixed Air Enthalpy" dataDxfId="132" totalsRowDxfId="131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130" totalsRowDxfId="129"/>
    <tableColumn id="20" xr3:uid="{497BA7BC-1B08-487D-9189-15C5F27B9D96}" name="Leaving Air WB" dataDxfId="128" totalsRowDxfId="127"/>
    <tableColumn id="21" xr3:uid="{D834ADEA-CA81-4E72-B13A-9F9B52C6F213}" name="Leaving air Enthalpy" dataDxfId="126" totalsRowDxfId="125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124" totalsRowDxfId="123">
      <calculatedColumnFormula>B12*1.085*(K12-N12)</calculatedColumnFormula>
    </tableColumn>
    <tableColumn id="23" xr3:uid="{E1DC3503-995B-4E2E-A4C0-FA1A8BF304BD}" name="Total Load" dataDxfId="122" totalsRowDxfId="121">
      <calculatedColumnFormula>4.5*B12*(M12-P12)</calculatedColumnFormula>
    </tableColumn>
    <tableColumn id="24" xr3:uid="{5011ECC7-02E0-4385-8D67-6977D0315C8E}" name="Total Tonnage" dataDxfId="120" totalsRowDxfId="119">
      <calculatedColumnFormula>IF(R12&lt;Q12,"INVALID POINT",R12/12000)</calculatedColumnFormula>
    </tableColumn>
    <tableColumn id="25" xr3:uid="{2828AC03-64A6-4419-968F-07E097EE33B9}" name="EWT" dataDxfId="118" totalsRowDxfId="117">
      <calculatedColumnFormula>INPUT_OUTPUTS!$C$14</calculatedColumnFormula>
    </tableColumn>
    <tableColumn id="26" xr3:uid="{DB3E362B-B672-4561-8355-608CD347B6D8}" name="LWT" dataDxfId="116" totalsRowDxfId="115">
      <calculatedColumnFormula>INPUT_OUTPUTS!$C$15</calculatedColumnFormula>
    </tableColumn>
    <tableColumn id="27" xr3:uid="{09910A02-C822-4038-8164-BBEE2FE54D4C}" name="GPM" totalsRowFunction="sum" dataDxfId="114" totalsRowDxfId="113">
      <calculatedColumnFormula>R12/(500*(U12-T12))</calculatedColumnFormula>
    </tableColumn>
    <tableColumn id="34" xr3:uid="{B72EE98A-8CEF-4902-B958-47985491574F}" name="Heating CFM" dataDxfId="112" totalsRowDxfId="111">
      <calculatedColumnFormula>FCU_Schedules[[#This Row],[Supply CFM]]</calculatedColumnFormula>
    </tableColumn>
    <tableColumn id="54" xr3:uid="{82160631-2223-44E5-8C48-172A132D3676}" name="Mixed Air Heating " dataDxfId="110" totalsRowDxfId="109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108" totalsRowDxfId="107"/>
    <tableColumn id="57" xr3:uid="{B4A0FD48-D3B6-4D18-B57A-7791D0AE772F}" name="Heating Sensible Load" totalsRowFunction="sum" dataDxfId="106" totalsRowDxfId="105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104" totalsRowDxfId="103">
      <calculatedColumnFormula>INPUT_OUTPUTS!$C$16</calculatedColumnFormula>
    </tableColumn>
    <tableColumn id="5" xr3:uid="{989018FB-568D-4937-8D20-2C29E84E7F48}" name="HWLWT" dataDxfId="102" totalsRowDxfId="101">
      <calculatedColumnFormula>INPUT_OUTPUTS!$C$17</calculatedColumnFormula>
    </tableColumn>
    <tableColumn id="60" xr3:uid="{DA35478F-D6FA-4A9B-BB41-39AD26A0E9E1}" name="HW GPM" totalsRowFunction="sum" dataDxfId="100" totalsRowDxfId="99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98" dataDxfId="97">
  <autoFilter ref="A3:J4" xr:uid="{4722567B-F5DC-4109-9DD8-283914BD9235}"/>
  <tableColumns count="10">
    <tableColumn id="1" xr3:uid="{7D32C4A6-C19F-4D01-97E5-A1152A1BAEF9}" name="CHILLER TAG" dataDxfId="96"/>
    <tableColumn id="2" xr3:uid="{2219859C-7B83-4D4B-A75A-A8A2A4E1086F}" name="DIVERSITY" dataDxfId="95"/>
    <tableColumn id="3" xr3:uid="{BA02662D-DD67-4799-B231-94579CAAD06B}" name="CHILLER CAPACITY (TONS)" dataDxfId="94"/>
    <tableColumn id="4" xr3:uid="{4F5A2DE8-3875-4648-B923-B9E9E51FB566}" name="GPM" dataDxfId="93"/>
    <tableColumn id="5" xr3:uid="{15DC3BCA-6D04-4789-965C-D3D3A5383153}" name="CHWS" dataDxfId="92">
      <calculatedColumnFormula>INPUT_OUTPUTS!$C$14</calculatedColumnFormula>
    </tableColumn>
    <tableColumn id="6" xr3:uid="{01AB0C6C-E62D-46F2-B380-43509BFE6335}" name="CHWR" dataDxfId="91">
      <calculatedColumnFormula>INPUT_OUTPUTS!$C$15</calculatedColumnFormula>
    </tableColumn>
    <tableColumn id="7" xr3:uid="{C76994DA-F032-48B5-8C99-41CBBB7D797D}" name="Heat Rejection at Condenser (BTU/HR)" dataDxfId="90">
      <calculatedColumnFormula>Table25[[#This Row],[CHILLER CAPACITY (TONS)]]*1.25*12000</calculatedColumnFormula>
    </tableColumn>
    <tableColumn id="8" xr3:uid="{837A511C-9CFD-450B-8079-ABE6A6434507}" name="CONDENSER WATER EWT" dataDxfId="89"/>
    <tableColumn id="9" xr3:uid="{CFCF58DF-DEF6-479A-BDB7-A4227602C482}" name="CONDENSER WATER LWT" dataDxfId="88"/>
    <tableColumn id="10" xr3:uid="{F6B54F02-73CB-4519-822B-2045E12E5116}" name="CONDENSER WATER GPM" dataDxfId="87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86" dataDxfId="85">
  <autoFilter ref="A10:I11" xr:uid="{C29CC425-19F2-45FE-821A-B7C6029BB5DC}"/>
  <tableColumns count="9">
    <tableColumn id="1" xr3:uid="{5368AA83-F46B-4C9B-B009-F085D4A44FD6}" name="BOILER TAG" dataDxfId="84"/>
    <tableColumn id="2" xr3:uid="{5EDA7B46-81EF-4834-97B5-79E0DF18F950}" name="DIVERSITY" dataDxfId="83"/>
    <tableColumn id="3" xr3:uid="{F9420D41-EB15-4E1F-9F2A-27104B8EC2A8}" name="BOILER CAPACITY (MBH)" dataDxfId="82"/>
    <tableColumn id="4" xr3:uid="{F59EBC9A-341C-4F3D-B7D6-FAD0EF67875E}" name="GPM" dataDxfId="81"/>
    <tableColumn id="5" xr3:uid="{A792A9D3-4942-4862-BB19-A64B1CFF9225}" name="HHWS" dataDxfId="80">
      <calculatedColumnFormula>INPUT_OUTPUTS!$C$16</calculatedColumnFormula>
    </tableColumn>
    <tableColumn id="6" xr3:uid="{562E62FC-8D21-4FA4-83DF-803FF786D998}" name="HHWR" dataDxfId="79">
      <calculatedColumnFormula>INPUT_OUTPUTS!$C$17</calculatedColumnFormula>
    </tableColumn>
    <tableColumn id="7" xr3:uid="{77071E59-15A7-44EC-996F-3ED96EB3ED78}" name="BOILER EFFICIENCY" dataDxfId="78"/>
    <tableColumn id="8" xr3:uid="{C733E27D-DC94-48B8-9AC1-906D695D9E7C}" name="INPUT MBH" dataDxfId="77"/>
    <tableColumn id="9" xr3:uid="{2FE11277-C4AC-4AC1-AF1F-F79F1575B738}" name="INPUT KW" dataDxfId="76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Table16" displayName="Table16" ref="B3:J4" totalsRowShown="0" headerRowDxfId="74" dataDxfId="72" headerRowBorderDxfId="73" tableBorderDxfId="71" totalsRowBorderDxfId="70">
  <autoFilter ref="B3:J4" xr:uid="{44411FB6-142F-46EF-BD79-8AC0ACDCD97C}"/>
  <tableColumns count="9">
    <tableColumn id="1" xr3:uid="{61544C74-5662-4522-92E7-E0DEC58BE226}" name="Unit _x000a_Serving" dataDxfId="69"/>
    <tableColumn id="2" xr3:uid="{62DD3D9A-906E-45A0-B542-4A2341DA2C9C}" name="Room _x000a_Name" dataDxfId="68"/>
    <tableColumn id="3" xr3:uid="{B1B58D13-F691-4812-86FC-1BD13B5FE08C}" name="Room _x000a_number " dataDxfId="67"/>
    <tableColumn id="4" xr3:uid="{C260CC61-7A7D-4057-AEFB-C80919810633}" name="Area_x000a_(ft2)" dataDxfId="66"/>
    <tableColumn id="5" xr3:uid="{F7F236E1-500B-4060-8EAE-29336EE30DA0}" name="Height (ft)" dataDxfId="65"/>
    <tableColumn id="7" xr3:uid="{227EB29C-B6BC-4137-8F34-0D23A4AF4E54}" name="Envelope Load _x000a_(BTU/HR)" dataDxfId="64"/>
    <tableColumn id="6" xr3:uid="{DB85C359-06D6-46CF-8260-71BE36AA06B9}" name="Make up Air / OA required" dataDxfId="63" dataCellStyle="Normal 2"/>
    <tableColumn id="8" xr3:uid="{DAE5E387-355D-4E93-BEA3-086D65076529}" name="Watts Per Sqft _x000a_from Equipment" dataDxfId="62">
      <calculatedColumnFormula>(Heat_Generating_Equipment[[#Totals],[Total 
BTUs]]*0.29307107)/Table16[[#This Row],[Area
(ft2)]]</calculatedColumnFormula>
    </tableColumn>
    <tableColumn id="9" xr3:uid="{EF1FA1B9-A715-4623-BF33-F6A3B3D44210}" name="Total Load_x000a_(BTUs)" dataDxfId="61">
      <calculatedColumnFormula>Table16[[#This Row],[Envelope Load 
(BTU/HR)]]+Heat_Generating_Equipment[[#Totals],[Total 
BTUs]]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Heat_Generating_Equipment" displayName="Heat_Generating_Equipment" ref="B8:M24" totalsRowCount="1" headerRowDxfId="60" dataDxfId="59" totalsRowDxfId="58" totalsRowBorderDxfId="57">
  <autoFilter ref="B8:M23" xr:uid="{0C5BFFEC-5ED1-469A-806C-32647A480394}"/>
  <tableColumns count="12">
    <tableColumn id="1" xr3:uid="{BEB8D356-84F4-43B5-924E-B32568058F62}" name="Equipment" totalsRowLabel="Total Load" dataDxfId="56" totalsRowDxfId="55"/>
    <tableColumn id="2" xr3:uid="{9E4D2415-B14D-40B1-95E0-0C9672C8440D}" name="General Equipment _x000a_(BTU/HR)" dataDxfId="54" totalsRowDxfId="53"/>
    <tableColumn id="3" xr3:uid="{8FC3D2BE-D9BD-4007-B636-1672EEADE304}" name="General Equipment _x000a_(Watts)" dataDxfId="52" totalsRowDxfId="51"/>
    <tableColumn id="5" xr3:uid="{43A25169-3CD7-454F-9554-9E297F7BF8D4}" name="Transformer _x000a_(KVA)" dataDxfId="50" totalsRowDxfId="49"/>
    <tableColumn id="6" xr3:uid="{1CFACC13-8384-4E61-B065-A744D3DEDDD3}" name="Transformer _x000a_Efficiency" dataDxfId="48" totalsRowDxfId="47"/>
    <tableColumn id="9" xr3:uid="{8A1B45D2-E6CC-448E-BC2D-015842AECA2A}" name="Server Load _x000a_(Watts)" dataDxfId="46" totalsRowDxfId="45"/>
    <tableColumn id="12" xr3:uid="{636C612B-90A4-4E97-B47D-4ADB9575C0B7}" name="Number of Servers" dataDxfId="44" totalsRowDxfId="43"/>
    <tableColumn id="10" xr3:uid="{9F66B44D-0B69-40BE-B03A-CD99F331EA51}" name="Server Diversity" dataDxfId="42" totalsRowDxfId="41"/>
    <tableColumn id="7" xr3:uid="{448F62D4-0325-4934-B4E5-0AFBC213E284}" name="Transformer _x000a_BTUs" dataDxfId="40" totalsRowDxfId="39">
      <calculatedColumnFormula>E9*(1-F9)*3412.14</calculatedColumnFormula>
    </tableColumn>
    <tableColumn id="4" xr3:uid="{99351F7A-5C5A-43A4-B46A-78E05CB0E0DC}" name="Watts _x000a_to BTUs" dataDxfId="38" totalsRowDxfId="37">
      <calculatedColumnFormula>D9*3.41</calculatedColumnFormula>
    </tableColumn>
    <tableColumn id="11" xr3:uid="{386FF5F8-7A2D-4E02-83E4-59A31EA3329D}" name="Server Load _x000a_(BTUs)" dataDxfId="36" totalsRowDxfId="35">
      <calculatedColumnFormula>Heat_Generating_Equipment[[#This Row],[Server Load 
(Watts)]]*Heat_Generating_Equipment[[#This Row],[Server Diversity]]*3.41*Heat_Generating_Equipment[[#This Row],[Number of Servers]]</calculatedColumnFormula>
    </tableColumn>
    <tableColumn id="8" xr3:uid="{24A8FBA9-A563-4E66-96C9-7D475E96F498}" name="Total _x000a_BTUs" totalsRowFunction="sum" dataDxfId="34" totalsRowDxfId="33">
      <calculatedColumnFormula>MROUND(SUM(Heat_Generating_Equipment[[#This Row],[General Equipment 
(BTU/HR)]],Heat_Generating_Equipment[[#This Row],[Watts 
to BTUs]],Heat_Generating_Equipment[[#This Row],[Transformer 
BTUs]],Heat_Generating_Equipment[[#This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2" dataDxfId="31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30" dataCellStyle="Normal 2"/>
    <tableColumn id="3" xr3:uid="{9733D35C-867E-4C4B-8F2B-E086ECB58CD3}" name="RP" dataDxfId="29" dataCellStyle="Normal 2"/>
    <tableColumn id="4" xr3:uid="{8749CE45-D3E3-463B-A943-59B6B0450B44}" name="RA" dataDxfId="28" dataCellStyle="Normal 2"/>
    <tableColumn id="5" xr3:uid="{CD462116-5E1B-4F25-96C0-8DB927D62FAD}" name="OCCUPANT DENSITY" dataDxfId="27" dataCellStyle="Normal 2"/>
    <tableColumn id="6" xr3:uid="{17ED933E-614D-45F6-B2C6-C5FD970DCCC2}" name="AIR CLASS" dataDxfId="26" dataCellStyle="Normal 2"/>
    <tableColumn id="7" xr3:uid="{8990C0AF-57F2-4ABC-A0E1-FC88BC4B024A}" name="OS" dataDxfId="25" dataCellStyle="Normal 2"/>
    <tableColumn id="10" xr3:uid="{2064FBAE-870A-46AE-9F8C-5F5DF7BCEC22}" name="0.5?" dataDxfId="24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3" dataDxfId="22" dataCellStyle="Normal 2">
  <autoFilter ref="J1:N37" xr:uid="{FC3692C1-EB92-41FB-9444-5DAEF8591757}"/>
  <tableColumns count="5">
    <tableColumn id="7" xr3:uid="{CA4FE357-07FF-4EBE-B427-878AF4AE4EB8}" name="Occupancy Category" dataDxfId="21" dataCellStyle="Normal 2"/>
    <tableColumn id="3" xr3:uid="{FF109B0F-3E01-4002-A883-C4CDF4B3E8CA}" name="EXHAUST RATE PER UNIT" dataDxfId="20" dataCellStyle="Normal 2"/>
    <tableColumn id="4" xr3:uid="{9EBCCC92-92E9-4FE1-B17B-CA56536298A4}" name="EXHAUST RATE PER AREA" dataDxfId="19" dataCellStyle="Normal 2"/>
    <tableColumn id="5" xr3:uid="{0075CAEE-1CDF-4D4F-8B21-A29737198283}" name="NOTES" dataDxfId="18" dataCellStyle="Normal 2"/>
    <tableColumn id="6" xr3:uid="{73E3E663-31ED-4991-8F25-4C660DE5C8CC}" name="AIR CLASS " dataDxfId="17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6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15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14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0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0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topLeftCell="A2" zoomScale="92" zoomScaleNormal="117" workbookViewId="0">
      <selection activeCell="C32" sqref="C32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43" t="s">
        <v>110</v>
      </c>
      <c r="D2" s="344"/>
      <c r="E2" s="28" t="s">
        <v>111</v>
      </c>
      <c r="F2" s="345"/>
      <c r="G2" s="344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46" t="s">
        <v>116</v>
      </c>
      <c r="C4" s="347"/>
      <c r="D4" s="347"/>
      <c r="E4" s="347"/>
      <c r="F4" s="347"/>
      <c r="G4" s="348"/>
      <c r="J4" s="349" t="s">
        <v>117</v>
      </c>
      <c r="K4" s="349"/>
      <c r="L4" s="349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50" t="s">
        <v>121</v>
      </c>
      <c r="C5" s="350"/>
      <c r="D5" s="350"/>
      <c r="E5" s="350"/>
      <c r="F5" s="350"/>
      <c r="G5" s="350"/>
      <c r="S5" s="11"/>
      <c r="W5" s="11" t="s">
        <v>122</v>
      </c>
      <c r="X5" s="11" t="s">
        <v>123</v>
      </c>
    </row>
    <row r="6" spans="2:25">
      <c r="B6" s="121" t="s">
        <v>124</v>
      </c>
      <c r="C6" s="309">
        <v>7</v>
      </c>
      <c r="D6" s="3"/>
      <c r="E6" s="352" t="s">
        <v>126</v>
      </c>
      <c r="F6" s="353"/>
      <c r="G6" s="122">
        <v>2000</v>
      </c>
      <c r="J6" s="340" t="s">
        <v>127</v>
      </c>
      <c r="K6" s="341"/>
      <c r="L6" s="342"/>
      <c r="S6" s="11"/>
      <c r="X6" s="11" t="s">
        <v>128</v>
      </c>
    </row>
    <row r="7" spans="2:25">
      <c r="B7" s="349" t="s">
        <v>129</v>
      </c>
      <c r="C7" s="349"/>
      <c r="D7" s="349"/>
      <c r="E7" s="349" t="s">
        <v>130</v>
      </c>
      <c r="F7" s="349"/>
      <c r="G7" s="349"/>
      <c r="J7" s="24" t="s">
        <v>131</v>
      </c>
      <c r="K7" s="25">
        <f>AHU_Schedules[[#Totals],[(Tons)34]]</f>
        <v>0</v>
      </c>
      <c r="L7" s="26" t="s">
        <v>132</v>
      </c>
      <c r="X7" s="11" t="s">
        <v>133</v>
      </c>
    </row>
    <row r="8" spans="2:25">
      <c r="B8" s="351" t="s">
        <v>134</v>
      </c>
      <c r="C8" s="122">
        <v>90</v>
      </c>
      <c r="D8" s="121" t="s">
        <v>135</v>
      </c>
      <c r="E8" s="351" t="s">
        <v>136</v>
      </c>
      <c r="F8" s="354">
        <v>20</v>
      </c>
      <c r="G8" s="351" t="s">
        <v>137</v>
      </c>
      <c r="J8" s="24" t="s">
        <v>138</v>
      </c>
      <c r="K8" s="25">
        <f>AHU_Schedules[[#Totals],[GPM MAX]]</f>
        <v>0</v>
      </c>
      <c r="L8" s="26" t="s">
        <v>139</v>
      </c>
      <c r="X8" s="11" t="s">
        <v>140</v>
      </c>
    </row>
    <row r="9" spans="2:25">
      <c r="B9" s="351"/>
      <c r="C9" s="122">
        <v>65</v>
      </c>
      <c r="D9" s="121" t="s">
        <v>141</v>
      </c>
      <c r="E9" s="351"/>
      <c r="F9" s="355"/>
      <c r="G9" s="351"/>
      <c r="J9" s="24" t="s">
        <v>145</v>
      </c>
      <c r="K9" s="25">
        <f>AHU_Schedules[[#Totals],[(mbh)46]]</f>
        <v>0</v>
      </c>
      <c r="L9" s="26" t="s">
        <v>146</v>
      </c>
      <c r="X9" s="11" t="s">
        <v>142</v>
      </c>
    </row>
    <row r="10" spans="2:25">
      <c r="B10" s="351" t="s">
        <v>143</v>
      </c>
      <c r="C10" s="123">
        <v>80</v>
      </c>
      <c r="D10" s="121" t="s">
        <v>137</v>
      </c>
      <c r="E10" s="351" t="s">
        <v>144</v>
      </c>
      <c r="F10" s="122"/>
      <c r="G10" s="121" t="s">
        <v>137</v>
      </c>
      <c r="J10" s="24" t="s">
        <v>148</v>
      </c>
      <c r="K10" s="25">
        <f>AHU_Schedules[[#Totals],[(˚F db)46]]</f>
        <v>0</v>
      </c>
      <c r="L10" s="26" t="s">
        <v>139</v>
      </c>
    </row>
    <row r="11" spans="2:25">
      <c r="B11" s="351"/>
      <c r="C11" s="123">
        <v>75</v>
      </c>
      <c r="D11" s="121" t="s">
        <v>141</v>
      </c>
      <c r="E11" s="351"/>
      <c r="F11" s="122"/>
      <c r="G11" s="121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49" t="s">
        <v>149</v>
      </c>
      <c r="C13" s="349"/>
      <c r="D13" s="349"/>
    </row>
    <row r="14" spans="2:25">
      <c r="B14" s="124" t="s">
        <v>150</v>
      </c>
      <c r="C14" s="123">
        <v>42</v>
      </c>
      <c r="D14" s="121" t="s">
        <v>151</v>
      </c>
    </row>
    <row r="15" spans="2:25">
      <c r="B15" s="124" t="s">
        <v>152</v>
      </c>
      <c r="C15" s="123">
        <v>56</v>
      </c>
      <c r="D15" s="121" t="s">
        <v>151</v>
      </c>
    </row>
    <row r="16" spans="2:25">
      <c r="B16" s="124" t="s">
        <v>153</v>
      </c>
      <c r="C16" s="123">
        <v>140</v>
      </c>
      <c r="D16" s="121" t="s">
        <v>151</v>
      </c>
    </row>
    <row r="17" spans="2:21">
      <c r="B17" s="124" t="s">
        <v>154</v>
      </c>
      <c r="C17" s="123">
        <v>110</v>
      </c>
      <c r="D17" s="121" t="s">
        <v>151</v>
      </c>
    </row>
    <row r="18" spans="2:21">
      <c r="B18" s="124" t="s">
        <v>155</v>
      </c>
      <c r="C18" s="125">
        <v>1.2</v>
      </c>
      <c r="D18" s="121" t="s">
        <v>156</v>
      </c>
    </row>
    <row r="19" spans="2:21">
      <c r="B19" s="124" t="s">
        <v>157</v>
      </c>
      <c r="C19" s="125"/>
      <c r="D19" s="121" t="s">
        <v>158</v>
      </c>
      <c r="H19" s="16"/>
      <c r="I19" s="16"/>
      <c r="J19" s="16"/>
      <c r="K19" s="16"/>
      <c r="L19" s="16"/>
    </row>
    <row r="20" spans="2:21">
      <c r="H20" s="16"/>
      <c r="I20" s="16"/>
      <c r="J20" s="358" t="s">
        <v>159</v>
      </c>
      <c r="K20" s="358"/>
      <c r="L20" s="16"/>
    </row>
    <row r="21" spans="2:21">
      <c r="H21" s="16"/>
      <c r="I21" s="16"/>
      <c r="J21" s="16"/>
      <c r="K21" s="16"/>
      <c r="L21" s="16"/>
    </row>
    <row r="23" spans="2:21">
      <c r="B23" s="356" t="s">
        <v>160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742</v>
      </c>
    </row>
    <row r="26" spans="2:21">
      <c r="B26" s="303"/>
      <c r="C26" s="304"/>
      <c r="D26" s="304"/>
      <c r="E26" s="305"/>
      <c r="F26" s="304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6"/>
      <c r="U26" s="307"/>
    </row>
    <row r="30" spans="2:21">
      <c r="B30" s="357" t="s">
        <v>767</v>
      </c>
      <c r="C30" s="357"/>
      <c r="D30" s="357"/>
      <c r="E30" s="357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</row>
    <row r="31" spans="2:21">
      <c r="B31" s="333" t="s">
        <v>763</v>
      </c>
      <c r="C31" s="333" t="s">
        <v>764</v>
      </c>
      <c r="D31" s="333" t="s">
        <v>765</v>
      </c>
      <c r="E31" s="333" t="s">
        <v>766</v>
      </c>
    </row>
  </sheetData>
  <mergeCells count="19">
    <mergeCell ref="B23:U23"/>
    <mergeCell ref="B30:E30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10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 macro="[0]!main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AF5" activePane="bottomRight" state="frozen"/>
      <selection pane="topRight" activeCell="H1" sqref="H1"/>
      <selection pane="bottomLeft" activeCell="A3" sqref="A3"/>
      <selection pane="bottomRight" activeCell="AM23" sqref="AM23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60" t="s">
        <v>2</v>
      </c>
      <c r="C3" s="361"/>
      <c r="D3" s="361"/>
      <c r="E3" s="361"/>
      <c r="F3" s="361"/>
      <c r="G3" s="361"/>
      <c r="H3" s="362"/>
      <c r="I3" s="91"/>
      <c r="J3" s="96"/>
      <c r="K3" s="359" t="s">
        <v>3</v>
      </c>
      <c r="L3" s="359"/>
      <c r="M3" s="359"/>
      <c r="N3" s="359"/>
      <c r="O3" s="359"/>
      <c r="P3" s="359"/>
      <c r="Q3" s="359"/>
      <c r="R3" s="359"/>
      <c r="S3" s="359" t="s">
        <v>4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O3" s="314" t="s">
        <v>753</v>
      </c>
      <c r="AP3" s="315">
        <f ca="1">((TABLE4A4398[[#Totals],[DESIGN OA (CFM)]]+AQ3)/TABLE4A4398[[#Totals],[DESIGN SA (CFM)]])</f>
        <v>0.33578947368421053</v>
      </c>
      <c r="AQ3" s="363">
        <v>0</v>
      </c>
      <c r="AR3" s="363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678</v>
      </c>
      <c r="AL4" s="81" t="s">
        <v>40</v>
      </c>
      <c r="AM4" s="81" t="s">
        <v>679</v>
      </c>
      <c r="AN4" s="81" t="s">
        <v>95</v>
      </c>
      <c r="AO4" s="81" t="s">
        <v>680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>IF(OR((K5="PATIENT CORRIDOR"),(K5="TOILET")),(E5*0.5),E5)</f>
        <v>500</v>
      </c>
      <c r="K5" s="97" t="s">
        <v>517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0">IF(OR((K6="PATIENT CORRIDOR"),(K6="TOILET")),(E6*0.5),E6)</f>
        <v>6000</v>
      </c>
      <c r="K6" s="97" t="s">
        <v>517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1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2">AM6-AN6-AO6</f>
        <v>200</v>
      </c>
      <c r="AQ6" s="103">
        <f t="shared" ref="AQ6:AQ12" ca="1" si="3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4">AM6/E6/F6*60</f>
        <v>6</v>
      </c>
      <c r="AT6" s="78" t="str">
        <f t="shared" ref="AT6:AT12" ca="1" si="5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0"/>
        <v>500</v>
      </c>
      <c r="K7" s="97" t="s">
        <v>517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1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2"/>
        <v>200</v>
      </c>
      <c r="AQ7" s="103">
        <f t="shared" ca="1" si="3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4"/>
        <v>6</v>
      </c>
      <c r="AT7" s="78" t="str">
        <f t="shared" ca="1" si="5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0"/>
        <v>500</v>
      </c>
      <c r="K8" s="97" t="s">
        <v>517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1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2"/>
        <v>200</v>
      </c>
      <c r="AQ8" s="103">
        <f t="shared" ca="1" si="3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4"/>
        <v>6</v>
      </c>
      <c r="AT8" s="78" t="str">
        <f t="shared" ca="1" si="5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0"/>
        <v>500</v>
      </c>
      <c r="K9" s="97" t="s">
        <v>517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1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2"/>
        <v>200</v>
      </c>
      <c r="AQ9" s="103">
        <f t="shared" ca="1" si="3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4"/>
        <v>6</v>
      </c>
      <c r="AT9" s="78" t="str">
        <f t="shared" ca="1" si="5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0"/>
        <v>500</v>
      </c>
      <c r="K10" s="97" t="s">
        <v>517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1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2"/>
        <v>200</v>
      </c>
      <c r="AQ10" s="103">
        <f t="shared" ca="1" si="3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4"/>
        <v>6</v>
      </c>
      <c r="AT10" s="78" t="str">
        <f t="shared" ca="1" si="5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0"/>
        <v>500</v>
      </c>
      <c r="K11" s="97" t="s">
        <v>517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1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2"/>
        <v>200</v>
      </c>
      <c r="AQ11" s="103">
        <f t="shared" ca="1" si="3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4"/>
        <v>6</v>
      </c>
      <c r="AT11" s="78" t="str">
        <f t="shared" ca="1" si="5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0"/>
        <v>500</v>
      </c>
      <c r="K12" s="97" t="s">
        <v>517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1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2"/>
        <v>200</v>
      </c>
      <c r="AQ12" s="103">
        <f t="shared" ca="1" si="3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4"/>
        <v>6</v>
      </c>
      <c r="AT12" s="78" t="str">
        <f t="shared" ca="1" si="5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0" type="noConversion"/>
  <conditionalFormatting sqref="AR5:AR12">
    <cfRule type="cellIs" dxfId="600" priority="3" operator="greaterThan">
      <formula>#REF!</formula>
    </cfRule>
  </conditionalFormatting>
  <conditionalFormatting sqref="AP5:AQ12">
    <cfRule type="cellIs" dxfId="599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M18"/>
  <sheetViews>
    <sheetView showGridLines="0" showRowColHeaders="0" topLeftCell="Z1" zoomScale="82" zoomScaleNormal="100" workbookViewId="0">
      <selection activeCell="AE31" sqref="AE31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17" customFormat="1" ht="17.399999999999999">
      <c r="P1" s="366" t="s">
        <v>685</v>
      </c>
      <c r="Q1" s="366"/>
      <c r="R1" s="318">
        <v>100</v>
      </c>
      <c r="S1" s="366" t="s">
        <v>754</v>
      </c>
      <c r="T1" s="366"/>
      <c r="U1" s="318" t="s">
        <v>756</v>
      </c>
      <c r="V1" s="319" t="s">
        <v>758</v>
      </c>
      <c r="W1" s="320">
        <v>5000</v>
      </c>
    </row>
    <row r="3" spans="1:39">
      <c r="A3" s="364" t="s">
        <v>78</v>
      </c>
      <c r="B3" s="365"/>
      <c r="C3" s="365"/>
      <c r="D3" s="365"/>
      <c r="E3" s="365"/>
      <c r="F3" s="365"/>
      <c r="G3" s="365"/>
      <c r="H3" s="365"/>
      <c r="I3" s="364" t="s">
        <v>79</v>
      </c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  <c r="W3" s="364"/>
      <c r="X3" s="364"/>
      <c r="Y3" s="364"/>
      <c r="Z3" s="364"/>
      <c r="AA3" s="364"/>
      <c r="AB3" s="364"/>
      <c r="AC3" s="364"/>
      <c r="AD3" s="364"/>
      <c r="AE3" s="364"/>
      <c r="AF3" s="364"/>
      <c r="AG3" s="364"/>
      <c r="AH3" s="364"/>
      <c r="AI3" s="364"/>
      <c r="AJ3" s="364" t="s">
        <v>762</v>
      </c>
      <c r="AK3" s="365"/>
      <c r="AL3" s="365"/>
    </row>
    <row r="4" spans="1:39" s="11" customFormat="1" ht="46.8">
      <c r="A4" s="331" t="s">
        <v>80</v>
      </c>
      <c r="B4" s="331" t="s">
        <v>81</v>
      </c>
      <c r="C4" s="331" t="s">
        <v>82</v>
      </c>
      <c r="D4" s="323" t="s">
        <v>83</v>
      </c>
      <c r="E4" s="323" t="s">
        <v>745</v>
      </c>
      <c r="F4" s="323" t="s">
        <v>84</v>
      </c>
      <c r="G4" s="323" t="s">
        <v>85</v>
      </c>
      <c r="H4" s="323" t="s">
        <v>86</v>
      </c>
      <c r="I4" s="323" t="s">
        <v>22</v>
      </c>
      <c r="J4" s="323" t="s">
        <v>87</v>
      </c>
      <c r="K4" s="323" t="s">
        <v>25</v>
      </c>
      <c r="L4" s="323" t="s">
        <v>26</v>
      </c>
      <c r="M4" s="323" t="s">
        <v>27</v>
      </c>
      <c r="N4" s="323" t="s">
        <v>749</v>
      </c>
      <c r="O4" s="323" t="s">
        <v>750</v>
      </c>
      <c r="P4" s="323" t="s">
        <v>28</v>
      </c>
      <c r="Q4" s="323" t="s">
        <v>30</v>
      </c>
      <c r="R4" s="323" t="s">
        <v>31</v>
      </c>
      <c r="S4" s="322" t="s">
        <v>32</v>
      </c>
      <c r="T4" s="322" t="s">
        <v>33</v>
      </c>
      <c r="U4" s="322" t="s">
        <v>34</v>
      </c>
      <c r="V4" s="322" t="s">
        <v>88</v>
      </c>
      <c r="W4" s="322" t="s">
        <v>89</v>
      </c>
      <c r="X4" s="322" t="s">
        <v>90</v>
      </c>
      <c r="Y4" s="322" t="s">
        <v>35</v>
      </c>
      <c r="Z4" s="322" t="s">
        <v>91</v>
      </c>
      <c r="AA4" s="322" t="s">
        <v>36</v>
      </c>
      <c r="AB4" s="322" t="s">
        <v>92</v>
      </c>
      <c r="AC4" s="322" t="s">
        <v>752</v>
      </c>
      <c r="AD4" s="322" t="s">
        <v>747</v>
      </c>
      <c r="AE4" s="323" t="s">
        <v>37</v>
      </c>
      <c r="AF4" s="323" t="s">
        <v>38</v>
      </c>
      <c r="AG4" s="323" t="s">
        <v>39</v>
      </c>
      <c r="AH4" s="322" t="s">
        <v>93</v>
      </c>
      <c r="AI4" s="322" t="s">
        <v>746</v>
      </c>
      <c r="AJ4" s="322" t="s">
        <v>94</v>
      </c>
      <c r="AK4" s="322" t="s">
        <v>95</v>
      </c>
      <c r="AL4" s="323" t="s">
        <v>96</v>
      </c>
      <c r="AM4" s="331" t="s">
        <v>97</v>
      </c>
    </row>
    <row r="5" spans="1:39" ht="15.6">
      <c r="A5" s="324" t="s">
        <v>103</v>
      </c>
      <c r="B5" s="324">
        <v>102</v>
      </c>
      <c r="C5" s="324" t="s">
        <v>748</v>
      </c>
      <c r="D5" s="324">
        <v>550</v>
      </c>
      <c r="E5" s="324">
        <v>-50</v>
      </c>
      <c r="F5" s="324">
        <v>4</v>
      </c>
      <c r="G5" s="325">
        <f>IF((VLOOKUP(Ahu_Ashrae_Generic[[#This Row],[Occupancy Category]],Ashrae90.1Vent[#All],7,FALSE)) = "YES",MROUND(D5/2,5),MROUND(D5,5))</f>
        <v>275</v>
      </c>
      <c r="H5" s="324">
        <v>300</v>
      </c>
      <c r="I5" s="324" t="s">
        <v>72</v>
      </c>
      <c r="J5" s="324" t="s">
        <v>104</v>
      </c>
      <c r="K5" s="326">
        <f>VLOOKUP(Ahu_Ashrae_Generic[[#This Row],[Occupancy Category]],Ashrae90.1Vent[#All],2,FALSE)</f>
        <v>0</v>
      </c>
      <c r="L5" s="326">
        <f>VLOOKUP(Ahu_Ashrae_Generic[[#This Row],[Occupancy Category]],Ashrae90.1Vent[#All],3,FALSE)</f>
        <v>0</v>
      </c>
      <c r="M5" s="326">
        <f>VLOOKUP(Ahu_Ashrae_Generic[[#This Row],[Occupancy Category]],Ashrae90.1Vent[#All],4,FALSE)</f>
        <v>0</v>
      </c>
      <c r="N5" s="326">
        <f>Ahu_Ashrae_Generic[[#This Row],[OCCUPANT DENSITY
('#/1000 FT²)]]*Ahu_Ashrae_Generic[[#This Row],[RP
(CFM/PER PERSON)]]</f>
        <v>0</v>
      </c>
      <c r="O5" s="326">
        <f>Ahu_Ashrae_Generic[[#This Row],[RA
(CFM/FT²)]]*Ahu_Ashrae_Generic[[#This Row],[AREA (FT²)]]</f>
        <v>0</v>
      </c>
      <c r="P5" s="326">
        <f>VLOOKUP(Ahu_Ashrae_Generic[[#This Row],[Occupancy Category]],Ashrae90.1Vent[#All],5,FALSE)</f>
        <v>2</v>
      </c>
      <c r="Q5" s="326">
        <f>CEILING((M5/1000)*D5,1)</f>
        <v>0</v>
      </c>
      <c r="R5" s="327">
        <f>IF(($R$1/Ahu_Ashrae_Generic[[#Totals],[Occupants (Pz)]])&gt;1,1,$R$1/Ahu_Ashrae_Generic[[#Totals],[Occupants (Pz)]])</f>
        <v>0.5376344086021505</v>
      </c>
      <c r="S5" s="328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327">
        <v>0.62847194525904204</v>
      </c>
      <c r="U5" s="328">
        <f>Ahu_Ashrae_Generic[[#This Row],[Uncorrected OA (Vou)]]/Ahu_Ashrae_Generic[[#This Row],[System Efficiency (Ev)]]</f>
        <v>0</v>
      </c>
      <c r="V5" s="328">
        <f>(Ahu_Ashrae_Generic[[#This Row],[RP
(CFM/PER PERSON)]]*Ahu_Ashrae_Generic[[#This Row],[Occupants (Pz)]])+(Ahu_Ashrae_Generic[[#This Row],[RA
(CFM/FT²)]]*Ahu_Ashrae_Generic[[#This Row],[AREA (FT²)]])</f>
        <v>0</v>
      </c>
      <c r="W5" s="324">
        <v>0.8</v>
      </c>
      <c r="X5" s="328">
        <f>Ahu_Ashrae_Generic[[#This Row],[Breathing Zone OA (Vbz)]]/Ahu_Ashrae_Generic[[#This Row],[Zone Efficiency (Ez)]]</f>
        <v>0</v>
      </c>
      <c r="Y5" s="329" t="s">
        <v>49</v>
      </c>
      <c r="Z5" s="326" t="str" cm="1">
        <f t="array" aca="1" ref="Z5" ca="1">co2requirement(Ahu_Ashrae_Generic[[#This Row],[AREA (FT²)]],Ahu_Ashrae_Generic[[#This Row],[EXHAUST RECOVERY]],INPUT_OUTPUTS!$C$6,Ahu_Ashrae_Generic[[#This Row],[Occupant Component]])</f>
        <v>NO</v>
      </c>
      <c r="AA5" s="328" t="str">
        <f>VLOOKUP(Ahu_Ashrae_Generic[[#This Row],[Occupancy Category]],Ashrae90.1Vent[#All],6,FALSE)</f>
        <v>NO</v>
      </c>
      <c r="AB5" s="328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5" s="330">
        <v>50</v>
      </c>
      <c r="AD5" s="328" t="str">
        <f>IF(Ahu_Ashrae_Generic[[#This Row],[Exhaust Category]] = "NOT APPLICABLE","NR","YES")</f>
        <v>YES</v>
      </c>
      <c r="AE5" s="328">
        <f>IF(Ahu_Ashrae_Generic[[#This Row],[Exhaust Category]]="NOT APPLICABLE","NA",VLOOKUP(Ahu_Ashrae_Generic[[#This Row],[Exhaust Category]],ASHRAE_EA_Table[#All],2,FALSE))</f>
        <v>50</v>
      </c>
      <c r="AF5" s="328">
        <f>IF(Ahu_Ashrae_Generic[[#This Row],[Exhaust Category]]="NOT APPLICABLE","NA",VLOOKUP(Ahu_Ashrae_Generic[[#This Row],[Exhaust Category]],ASHRAE_EA_Table[#All],3,FALSE))</f>
        <v>0</v>
      </c>
      <c r="AG5" s="326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250</v>
      </c>
      <c r="AH5" s="328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328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5" s="330">
        <f ca="1">Ahu_Ashrae_Generic[[#This Row],[Calculated VAV Max CFM]]</f>
        <v>300</v>
      </c>
      <c r="AK5" s="324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324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321">
        <f ca="1">Ahu_Ashrae_Generic[[#This Row],[OUTSIDE AIRFLOW (CFM) (Vot)]]/Ahu_Ashrae_Generic[[#This Row],[DESIGN VAV MAX SA(CFM)]]</f>
        <v>0</v>
      </c>
    </row>
    <row r="6" spans="1:39" ht="15.6">
      <c r="A6" s="97" t="s">
        <v>103</v>
      </c>
      <c r="B6" s="97">
        <v>102</v>
      </c>
      <c r="C6" s="97" t="s">
        <v>751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382</v>
      </c>
      <c r="K6" s="99">
        <f>VLOOKUP(Ahu_Ashrae_Generic[[#This Row],[Occupancy Category]],Ashrae90.1Vent[#All],2,FALSE)</f>
        <v>5</v>
      </c>
      <c r="L6" s="99">
        <f>VLOOKUP(Ahu_Ashrae_Generic[[#This Row],[Occupancy Category]],Ashrae90.1Vent[#All],3,FALSE)</f>
        <v>0.06</v>
      </c>
      <c r="M6" s="99">
        <f>VLOOKUP(Ahu_Ashrae_Generic[[#This Row],[Occupancy Category]],Ashrae90.1Vent[#All],4,FALSE)</f>
        <v>5</v>
      </c>
      <c r="N6" s="99">
        <f>Ahu_Ashrae_Generic[[#This Row],[OCCUPANT DENSITY
('#/1000 FT²)]]*Ahu_Ashrae_Generic[[#This Row],[RP
(CFM/PER PERSON)]]</f>
        <v>25</v>
      </c>
      <c r="O6" s="99">
        <f>Ahu_Ashrae_Generic[[#This Row],[RA
(CFM/FT²)]]*Ahu_Ashrae_Generic[[#This Row],[AREA (FT²)]]</f>
        <v>33</v>
      </c>
      <c r="P6" s="99">
        <f>VLOOKUP(Ahu_Ashrae_Generic[[#This Row],[Occupancy Category]],Ashrae90.1Vent[#All],5,FALSE)</f>
        <v>1</v>
      </c>
      <c r="Q6" s="99">
        <f>CEILING((M6/1000)*D6,1)</f>
        <v>3</v>
      </c>
      <c r="R6" s="101">
        <f>IF(($R$1/Ahu_Ashrae_Generic[[#Totals],[Occupants (Pz)]])&gt;1,1,$R$1/Ahu_Ashrae_Generic[[#Totals],[Occupants (Pz)]])</f>
        <v>0.5376344086021505</v>
      </c>
      <c r="S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6" s="101">
        <v>0.62847194525904204</v>
      </c>
      <c r="U6" s="100">
        <f>Ahu_Ashrae_Generic[[#This Row],[Uncorrected OA (Vou)]]/Ahu_Ashrae_Generic[[#This Row],[System Efficiency (Ev)]]</f>
        <v>65.340253353881025</v>
      </c>
      <c r="V6" s="100">
        <f>(Ahu_Ashrae_Generic[[#This Row],[RP
(CFM/PER PERSON)]]*Ahu_Ashrae_Generic[[#This Row],[Occupants (Pz)]])+(Ahu_Ashrae_Generic[[#This Row],[RA
(CFM/FT²)]]*Ahu_Ashrae_Generic[[#This Row],[AREA (FT²)]])</f>
        <v>48</v>
      </c>
      <c r="W6" s="313">
        <v>0.8</v>
      </c>
      <c r="X6" s="100">
        <f>Ahu_Ashrae_Generic[[#This Row],[Breathing Zone OA (Vbz)]]/Ahu_Ashrae_Generic[[#This Row],[Zone Efficiency (Ez)]]</f>
        <v>60</v>
      </c>
      <c r="Y6" s="312" t="s">
        <v>49</v>
      </c>
      <c r="Z6" s="99" t="str" cm="1">
        <f t="array" aca="1" ref="Z6" ca="1">co2requirement(Ahu_Ashrae_Generic[[#This Row],[AREA (FT²)]],Ahu_Ashrae_Generic[[#This Row],[EXHAUST RECOVERY]],INPUT_OUTPUTS!$C$6,Ahu_Ashrae_Generic[[#This Row],[Occupant Component]])</f>
        <v>NO</v>
      </c>
      <c r="AA6" s="100" t="str">
        <f>VLOOKUP(Ahu_Ashrae_Generic[[#This Row],[Occupancy Category]],Ashrae90.1Vent[#All],6,FALSE)</f>
        <v>YES</v>
      </c>
      <c r="AB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6" s="144">
        <v>0</v>
      </c>
      <c r="AD6" s="100" t="str">
        <f>IF(Ahu_Ashrae_Generic[[#This Row],[Exhaust Category]] = "NOT APPLICABLE","NR","YES")</f>
        <v>NR</v>
      </c>
      <c r="AE6" s="100" t="str">
        <f>IF(Ahu_Ashrae_Generic[[#This Row],[Exhaust Category]]="NOT APPLICABLE","NA",VLOOKUP(Ahu_Ashrae_Generic[[#This Row],[Exhaust Category]],ASHRAE_EA_Table[#All],2,FALSE))</f>
        <v>NA</v>
      </c>
      <c r="AF6" s="100" t="str">
        <f>IF(Ahu_Ashrae_Generic[[#This Row],[Exhaust Category]]="NOT APPLICABLE","NA",VLOOKUP(Ahu_Ashrae_Generic[[#This Row],[Exhaust Category]],ASHRAE_EA_Table[#All],3,FALSE))</f>
        <v>NA</v>
      </c>
      <c r="AG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6" s="100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4">
        <f ca="1">Ahu_Ashrae_Generic[[#This Row],[Calculated VAV Max CFM]]</f>
        <v>550</v>
      </c>
      <c r="AK6" s="97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7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69">
        <f ca="1">Ahu_Ashrae_Generic[[#This Row],[OUTSIDE AIRFLOW (CFM) (Vot)]]/Ahu_Ashrae_Generic[[#This Row],[DESIGN VAV MAX SA(CFM)]]</f>
        <v>0.11880046064342005</v>
      </c>
    </row>
    <row r="7" spans="1:39" ht="15.6">
      <c r="A7" s="97" t="s">
        <v>103</v>
      </c>
      <c r="B7" s="97">
        <v>102</v>
      </c>
      <c r="C7" s="97" t="s">
        <v>748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382</v>
      </c>
      <c r="K7" s="99">
        <f>VLOOKUP(Ahu_Ashrae_Generic[[#This Row],[Occupancy Category]],Ashrae90.1Vent[#All],2,FALSE)</f>
        <v>5</v>
      </c>
      <c r="L7" s="99">
        <f>VLOOKUP(Ahu_Ashrae_Generic[[#This Row],[Occupancy Category]],Ashrae90.1Vent[#All],3,FALSE)</f>
        <v>0.06</v>
      </c>
      <c r="M7" s="99">
        <f>VLOOKUP(Ahu_Ashrae_Generic[[#This Row],[Occupancy Category]],Ashrae90.1Vent[#All],4,FALSE)</f>
        <v>5</v>
      </c>
      <c r="N7" s="99">
        <f>Ahu_Ashrae_Generic[[#This Row],[OCCUPANT DENSITY
('#/1000 FT²)]]*Ahu_Ashrae_Generic[[#This Row],[RP
(CFM/PER PERSON)]]</f>
        <v>25</v>
      </c>
      <c r="O7" s="99">
        <f>Ahu_Ashrae_Generic[[#This Row],[RA
(CFM/FT²)]]*Ahu_Ashrae_Generic[[#This Row],[AREA (FT²)]]</f>
        <v>33</v>
      </c>
      <c r="P7" s="99">
        <f>VLOOKUP(Ahu_Ashrae_Generic[[#This Row],[Occupancy Category]],Ashrae90.1Vent[#All],5,FALSE)</f>
        <v>1</v>
      </c>
      <c r="Q7" s="99">
        <f t="shared" ref="Q7:Q17" si="0">CEILING((M7/1000)*D7,1)</f>
        <v>3</v>
      </c>
      <c r="R7" s="101">
        <f>IF(($R$1/Ahu_Ashrae_Generic[[#Totals],[Occupants (Pz)]])&gt;1,1,$R$1/Ahu_Ashrae_Generic[[#Totals],[Occupants (Pz)]])</f>
        <v>0.5376344086021505</v>
      </c>
      <c r="S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7" s="101">
        <v>0.62847194525904204</v>
      </c>
      <c r="U7" s="100">
        <f>Ahu_Ashrae_Generic[[#This Row],[Uncorrected OA (Vou)]]/Ahu_Ashrae_Generic[[#This Row],[System Efficiency (Ev)]]</f>
        <v>65.340253353881025</v>
      </c>
      <c r="V7" s="100">
        <f>(Ahu_Ashrae_Generic[[#This Row],[RP
(CFM/PER PERSON)]]*Ahu_Ashrae_Generic[[#This Row],[Occupants (Pz)]])+(Ahu_Ashrae_Generic[[#This Row],[RA
(CFM/FT²)]]*Ahu_Ashrae_Generic[[#This Row],[AREA (FT²)]])</f>
        <v>48</v>
      </c>
      <c r="W7" s="97">
        <v>0.8</v>
      </c>
      <c r="X7" s="100">
        <f>Ahu_Ashrae_Generic[[#This Row],[Breathing Zone OA (Vbz)]]/Ahu_Ashrae_Generic[[#This Row],[Zone Efficiency (Ez)]]</f>
        <v>60</v>
      </c>
      <c r="Y7" s="312" t="s">
        <v>49</v>
      </c>
      <c r="Z7" s="99" t="str" cm="1">
        <f t="array" aca="1" ref="Z7" ca="1">co2requirement(Ahu_Ashrae_Generic[[#This Row],[AREA (FT²)]],Ahu_Ashrae_Generic[[#This Row],[EXHAUST RECOVERY]],INPUT_OUTPUTS!$C$6,Ahu_Ashrae_Generic[[#This Row],[Occupant Component]])</f>
        <v>NO</v>
      </c>
      <c r="AA7" s="100" t="str">
        <f>VLOOKUP(Ahu_Ashrae_Generic[[#This Row],[Occupancy Category]],Ashrae90.1Vent[#All],6,FALSE)</f>
        <v>YES</v>
      </c>
      <c r="AB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7" s="144">
        <v>0</v>
      </c>
      <c r="AD7" s="100" t="str">
        <f>IF(Ahu_Ashrae_Generic[[#This Row],[Exhaust Category]] = "NOT APPLICABLE","NR","YES")</f>
        <v>NR</v>
      </c>
      <c r="AE7" s="100" t="str">
        <f>IF(Ahu_Ashrae_Generic[[#This Row],[Exhaust Category]]="NOT APPLICABLE","NA",VLOOKUP(Ahu_Ashrae_Generic[[#This Row],[Exhaust Category]],ASHRAE_EA_Table[#All],2,FALSE))</f>
        <v>NA</v>
      </c>
      <c r="AF7" s="100" t="str">
        <f>IF(Ahu_Ashrae_Generic[[#This Row],[Exhaust Category]]="NOT APPLICABLE","NA",VLOOKUP(Ahu_Ashrae_Generic[[#This Row],[Exhaust Category]],ASHRAE_EA_Table[#All],3,FALSE))</f>
        <v>NA</v>
      </c>
      <c r="AG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7" s="100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7" s="144">
        <f ca="1">Ahu_Ashrae_Generic[[#This Row],[Calculated VAV Max CFM]]</f>
        <v>550</v>
      </c>
      <c r="AK7" s="97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7" s="97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7" s="69">
        <f ca="1">Ahu_Ashrae_Generic[[#This Row],[OUTSIDE AIRFLOW (CFM) (Vot)]]/Ahu_Ashrae_Generic[[#This Row],[DESIGN VAV MAX SA(CFM)]]</f>
        <v>0.11880046064342005</v>
      </c>
    </row>
    <row r="8" spans="1:39" ht="15.6">
      <c r="A8" s="97" t="s">
        <v>103</v>
      </c>
      <c r="B8" s="97">
        <v>102</v>
      </c>
      <c r="C8" s="97" t="s">
        <v>748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382</v>
      </c>
      <c r="K8" s="99">
        <f>VLOOKUP(Ahu_Ashrae_Generic[[#This Row],[Occupancy Category]],Ashrae90.1Vent[#All],2,FALSE)</f>
        <v>5</v>
      </c>
      <c r="L8" s="99">
        <f>VLOOKUP(Ahu_Ashrae_Generic[[#This Row],[Occupancy Category]],Ashrae90.1Vent[#All],3,FALSE)</f>
        <v>0.06</v>
      </c>
      <c r="M8" s="99">
        <f>VLOOKUP(Ahu_Ashrae_Generic[[#This Row],[Occupancy Category]],Ashrae90.1Vent[#All],4,FALSE)</f>
        <v>5</v>
      </c>
      <c r="N8" s="99">
        <f>Ahu_Ashrae_Generic[[#This Row],[OCCUPANT DENSITY
('#/1000 FT²)]]*Ahu_Ashrae_Generic[[#This Row],[RP
(CFM/PER PERSON)]]</f>
        <v>25</v>
      </c>
      <c r="O8" s="99">
        <f>Ahu_Ashrae_Generic[[#This Row],[RA
(CFM/FT²)]]*Ahu_Ashrae_Generic[[#This Row],[AREA (FT²)]]</f>
        <v>33</v>
      </c>
      <c r="P8" s="99">
        <f>VLOOKUP(Ahu_Ashrae_Generic[[#This Row],[Occupancy Category]],Ashrae90.1Vent[#All],5,FALSE)</f>
        <v>1</v>
      </c>
      <c r="Q8" s="99">
        <f t="shared" si="0"/>
        <v>3</v>
      </c>
      <c r="R8" s="101">
        <f>IF(($R$1/Ahu_Ashrae_Generic[[#Totals],[Occupants (Pz)]])&gt;1,1,$R$1/Ahu_Ashrae_Generic[[#Totals],[Occupants (Pz)]])</f>
        <v>0.5376344086021505</v>
      </c>
      <c r="S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8" s="101">
        <v>0.62847194525904204</v>
      </c>
      <c r="U8" s="100">
        <f>Ahu_Ashrae_Generic[[#This Row],[Uncorrected OA (Vou)]]/Ahu_Ashrae_Generic[[#This Row],[System Efficiency (Ev)]]</f>
        <v>65.340253353881025</v>
      </c>
      <c r="V8" s="100">
        <f>(Ahu_Ashrae_Generic[[#This Row],[RP
(CFM/PER PERSON)]]*Ahu_Ashrae_Generic[[#This Row],[Occupants (Pz)]])+(Ahu_Ashrae_Generic[[#This Row],[RA
(CFM/FT²)]]*Ahu_Ashrae_Generic[[#This Row],[AREA (FT²)]])</f>
        <v>48</v>
      </c>
      <c r="W8" s="97">
        <v>0.8</v>
      </c>
      <c r="X8" s="100">
        <f>Ahu_Ashrae_Generic[[#This Row],[Breathing Zone OA (Vbz)]]/Ahu_Ashrae_Generic[[#This Row],[Zone Efficiency (Ez)]]</f>
        <v>60</v>
      </c>
      <c r="Y8" s="312" t="s">
        <v>49</v>
      </c>
      <c r="Z8" s="99" t="str" cm="1">
        <f t="array" aca="1" ref="Z8" ca="1">co2requirement(Ahu_Ashrae_Generic[[#This Row],[AREA (FT²)]],Ahu_Ashrae_Generic[[#This Row],[EXHAUST RECOVERY]],INPUT_OUTPUTS!$C$6,Ahu_Ashrae_Generic[[#This Row],[Occupant Component]])</f>
        <v>NO</v>
      </c>
      <c r="AA8" s="100" t="str">
        <f>VLOOKUP(Ahu_Ashrae_Generic[[#This Row],[Occupancy Category]],Ashrae90.1Vent[#All],6,FALSE)</f>
        <v>YES</v>
      </c>
      <c r="AB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8" s="144">
        <v>0</v>
      </c>
      <c r="AD8" s="100" t="str">
        <f>IF(Ahu_Ashrae_Generic[[#This Row],[Exhaust Category]] = "NOT APPLICABLE","NR","YES")</f>
        <v>NR</v>
      </c>
      <c r="AE8" s="100" t="str">
        <f>IF(Ahu_Ashrae_Generic[[#This Row],[Exhaust Category]]="NOT APPLICABLE","NA",VLOOKUP(Ahu_Ashrae_Generic[[#This Row],[Exhaust Category]],ASHRAE_EA_Table[#All],2,FALSE))</f>
        <v>NA</v>
      </c>
      <c r="AF8" s="100" t="str">
        <f>IF(Ahu_Ashrae_Generic[[#This Row],[Exhaust Category]]="NOT APPLICABLE","NA",VLOOKUP(Ahu_Ashrae_Generic[[#This Row],[Exhaust Category]],ASHRAE_EA_Table[#All],3,FALSE))</f>
        <v>NA</v>
      </c>
      <c r="AG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8" s="100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8" s="144">
        <f ca="1">Ahu_Ashrae_Generic[[#This Row],[Calculated VAV Max CFM]]</f>
        <v>550</v>
      </c>
      <c r="AK8" s="97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8" s="97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8" s="69">
        <f ca="1">Ahu_Ashrae_Generic[[#This Row],[OUTSIDE AIRFLOW (CFM) (Vot)]]/Ahu_Ashrae_Generic[[#This Row],[DESIGN VAV MAX SA(CFM)]]</f>
        <v>0.11880046064342005</v>
      </c>
    </row>
    <row r="9" spans="1:39" ht="15.6">
      <c r="A9" s="97" t="s">
        <v>103</v>
      </c>
      <c r="B9" s="97">
        <v>102</v>
      </c>
      <c r="C9" s="97" t="s">
        <v>748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382</v>
      </c>
      <c r="K9" s="99">
        <f>VLOOKUP(Ahu_Ashrae_Generic[[#This Row],[Occupancy Category]],Ashrae90.1Vent[#All],2,FALSE)</f>
        <v>5</v>
      </c>
      <c r="L9" s="99">
        <f>VLOOKUP(Ahu_Ashrae_Generic[[#This Row],[Occupancy Category]],Ashrae90.1Vent[#All],3,FALSE)</f>
        <v>0.06</v>
      </c>
      <c r="M9" s="99">
        <f>VLOOKUP(Ahu_Ashrae_Generic[[#This Row],[Occupancy Category]],Ashrae90.1Vent[#All],4,FALSE)</f>
        <v>5</v>
      </c>
      <c r="N9" s="99">
        <f>Ahu_Ashrae_Generic[[#This Row],[OCCUPANT DENSITY
('#/1000 FT²)]]*Ahu_Ashrae_Generic[[#This Row],[RP
(CFM/PER PERSON)]]</f>
        <v>25</v>
      </c>
      <c r="O9" s="99">
        <f>Ahu_Ashrae_Generic[[#This Row],[RA
(CFM/FT²)]]*Ahu_Ashrae_Generic[[#This Row],[AREA (FT²)]]</f>
        <v>33</v>
      </c>
      <c r="P9" s="99">
        <f>VLOOKUP(Ahu_Ashrae_Generic[[#This Row],[Occupancy Category]],Ashrae90.1Vent[#All],5,FALSE)</f>
        <v>1</v>
      </c>
      <c r="Q9" s="99">
        <f t="shared" si="0"/>
        <v>3</v>
      </c>
      <c r="R9" s="101">
        <f>IF(($R$1/Ahu_Ashrae_Generic[[#Totals],[Occupants (Pz)]])&gt;1,1,$R$1/Ahu_Ashrae_Generic[[#Totals],[Occupants (Pz)]])</f>
        <v>0.5376344086021505</v>
      </c>
      <c r="S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9" s="101">
        <v>0.62847194525904204</v>
      </c>
      <c r="U9" s="100">
        <f>Ahu_Ashrae_Generic[[#This Row],[Uncorrected OA (Vou)]]/Ahu_Ashrae_Generic[[#This Row],[System Efficiency (Ev)]]</f>
        <v>65.340253353881025</v>
      </c>
      <c r="V9" s="100">
        <f>(Ahu_Ashrae_Generic[[#This Row],[RP
(CFM/PER PERSON)]]*Ahu_Ashrae_Generic[[#This Row],[Occupants (Pz)]])+(Ahu_Ashrae_Generic[[#This Row],[RA
(CFM/FT²)]]*Ahu_Ashrae_Generic[[#This Row],[AREA (FT²)]])</f>
        <v>48</v>
      </c>
      <c r="W9" s="97">
        <v>0.8</v>
      </c>
      <c r="X9" s="100">
        <f>Ahu_Ashrae_Generic[[#This Row],[Breathing Zone OA (Vbz)]]/Ahu_Ashrae_Generic[[#This Row],[Zone Efficiency (Ez)]]</f>
        <v>60</v>
      </c>
      <c r="Y9" s="312" t="s">
        <v>49</v>
      </c>
      <c r="Z9" s="99" t="str" cm="1">
        <f t="array" aca="1" ref="Z9" ca="1">co2requirement(Ahu_Ashrae_Generic[[#This Row],[AREA (FT²)]],Ahu_Ashrae_Generic[[#This Row],[EXHAUST RECOVERY]],INPUT_OUTPUTS!$C$6,Ahu_Ashrae_Generic[[#This Row],[Occupant Component]])</f>
        <v>NO</v>
      </c>
      <c r="AA9" s="100" t="str">
        <f>VLOOKUP(Ahu_Ashrae_Generic[[#This Row],[Occupancy Category]],Ashrae90.1Vent[#All],6,FALSE)</f>
        <v>YES</v>
      </c>
      <c r="AB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9" s="144">
        <v>0</v>
      </c>
      <c r="AD9" s="100" t="str">
        <f>IF(Ahu_Ashrae_Generic[[#This Row],[Exhaust Category]] = "NOT APPLICABLE","NR","YES")</f>
        <v>NR</v>
      </c>
      <c r="AE9" s="100" t="str">
        <f>IF(Ahu_Ashrae_Generic[[#This Row],[Exhaust Category]]="NOT APPLICABLE","NA",VLOOKUP(Ahu_Ashrae_Generic[[#This Row],[Exhaust Category]],ASHRAE_EA_Table[#All],2,FALSE))</f>
        <v>NA</v>
      </c>
      <c r="AF9" s="100" t="str">
        <f>IF(Ahu_Ashrae_Generic[[#This Row],[Exhaust Category]]="NOT APPLICABLE","NA",VLOOKUP(Ahu_Ashrae_Generic[[#This Row],[Exhaust Category]],ASHRAE_EA_Table[#All],3,FALSE))</f>
        <v>NA</v>
      </c>
      <c r="AG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9" s="100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9" s="144">
        <f ca="1">Ahu_Ashrae_Generic[[#This Row],[Calculated VAV Max CFM]]</f>
        <v>550</v>
      </c>
      <c r="AK9" s="97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9" s="97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9" s="69">
        <f ca="1">Ahu_Ashrae_Generic[[#This Row],[OUTSIDE AIRFLOW (CFM) (Vot)]]/Ahu_Ashrae_Generic[[#This Row],[DESIGN VAV MAX SA(CFM)]]</f>
        <v>0.11880046064342005</v>
      </c>
    </row>
    <row r="10" spans="1:39" ht="15.6">
      <c r="A10" s="97" t="s">
        <v>103</v>
      </c>
      <c r="B10" s="97">
        <v>102</v>
      </c>
      <c r="C10" s="97" t="s">
        <v>748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382</v>
      </c>
      <c r="K10" s="99">
        <f>VLOOKUP(Ahu_Ashrae_Generic[[#This Row],[Occupancy Category]],Ashrae90.1Vent[#All],2,FALSE)</f>
        <v>5</v>
      </c>
      <c r="L10" s="99">
        <f>VLOOKUP(Ahu_Ashrae_Generic[[#This Row],[Occupancy Category]],Ashrae90.1Vent[#All],3,FALSE)</f>
        <v>0.06</v>
      </c>
      <c r="M10" s="99">
        <f>VLOOKUP(Ahu_Ashrae_Generic[[#This Row],[Occupancy Category]],Ashrae90.1Vent[#All],4,FALSE)</f>
        <v>5</v>
      </c>
      <c r="N10" s="99">
        <f>Ahu_Ashrae_Generic[[#This Row],[OCCUPANT DENSITY
('#/1000 FT²)]]*Ahu_Ashrae_Generic[[#This Row],[RP
(CFM/PER PERSON)]]</f>
        <v>25</v>
      </c>
      <c r="O10" s="99">
        <f>Ahu_Ashrae_Generic[[#This Row],[RA
(CFM/FT²)]]*Ahu_Ashrae_Generic[[#This Row],[AREA (FT²)]]</f>
        <v>33</v>
      </c>
      <c r="P10" s="99">
        <f>VLOOKUP(Ahu_Ashrae_Generic[[#This Row],[Occupancy Category]],Ashrae90.1Vent[#All],5,FALSE)</f>
        <v>1</v>
      </c>
      <c r="Q10" s="99">
        <f t="shared" si="0"/>
        <v>3</v>
      </c>
      <c r="R10" s="101">
        <f>IF(($R$1/Ahu_Ashrae_Generic[[#Totals],[Occupants (Pz)]])&gt;1,1,$R$1/Ahu_Ashrae_Generic[[#Totals],[Occupants (Pz)]])</f>
        <v>0.5376344086021505</v>
      </c>
      <c r="S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0" s="101">
        <v>0.62847194525904204</v>
      </c>
      <c r="U10" s="100">
        <f>Ahu_Ashrae_Generic[[#This Row],[Uncorrected OA (Vou)]]/Ahu_Ashrae_Generic[[#This Row],[System Efficiency (Ev)]]</f>
        <v>65.340253353881025</v>
      </c>
      <c r="V10" s="100">
        <f>(Ahu_Ashrae_Generic[[#This Row],[RP
(CFM/PER PERSON)]]*Ahu_Ashrae_Generic[[#This Row],[Occupants (Pz)]])+(Ahu_Ashrae_Generic[[#This Row],[RA
(CFM/FT²)]]*Ahu_Ashrae_Generic[[#This Row],[AREA (FT²)]])</f>
        <v>48</v>
      </c>
      <c r="W10" s="97">
        <v>0.8</v>
      </c>
      <c r="X10" s="100">
        <f>Ahu_Ashrae_Generic[[#This Row],[Breathing Zone OA (Vbz)]]/Ahu_Ashrae_Generic[[#This Row],[Zone Efficiency (Ez)]]</f>
        <v>60</v>
      </c>
      <c r="Y10" s="312" t="s">
        <v>49</v>
      </c>
      <c r="Z10" s="99" t="str" cm="1">
        <f t="array" aca="1" ref="Z10" ca="1">co2requirement(Ahu_Ashrae_Generic[[#This Row],[AREA (FT²)]],Ahu_Ashrae_Generic[[#This Row],[EXHAUST RECOVERY]],INPUT_OUTPUTS!$C$6,Ahu_Ashrae_Generic[[#This Row],[Occupant Component]])</f>
        <v>NO</v>
      </c>
      <c r="AA10" s="100" t="str">
        <f>VLOOKUP(Ahu_Ashrae_Generic[[#This Row],[Occupancy Category]],Ashrae90.1Vent[#All],6,FALSE)</f>
        <v>YES</v>
      </c>
      <c r="AB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0" s="144">
        <v>0</v>
      </c>
      <c r="AD10" s="100" t="str">
        <f>IF(Ahu_Ashrae_Generic[[#This Row],[Exhaust Category]] = "NOT APPLICABLE","NR","YES")</f>
        <v>NR</v>
      </c>
      <c r="AE10" s="100" t="str">
        <f>IF(Ahu_Ashrae_Generic[[#This Row],[Exhaust Category]]="NOT APPLICABLE","NA",VLOOKUP(Ahu_Ashrae_Generic[[#This Row],[Exhaust Category]],ASHRAE_EA_Table[#All],2,FALSE))</f>
        <v>NA</v>
      </c>
      <c r="AF10" s="100" t="str">
        <f>IF(Ahu_Ashrae_Generic[[#This Row],[Exhaust Category]]="NOT APPLICABLE","NA",VLOOKUP(Ahu_Ashrae_Generic[[#This Row],[Exhaust Category]],ASHRAE_EA_Table[#All],3,FALSE))</f>
        <v>NA</v>
      </c>
      <c r="AG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0" s="100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0" s="144">
        <f ca="1">Ahu_Ashrae_Generic[[#This Row],[Calculated VAV Max CFM]]</f>
        <v>550</v>
      </c>
      <c r="AK10" s="97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0" s="97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0" s="69">
        <f ca="1">Ahu_Ashrae_Generic[[#This Row],[OUTSIDE AIRFLOW (CFM) (Vot)]]/Ahu_Ashrae_Generic[[#This Row],[DESIGN VAV MAX SA(CFM)]]</f>
        <v>0.11880046064342005</v>
      </c>
    </row>
    <row r="11" spans="1:39" ht="15.6">
      <c r="A11" s="97" t="s">
        <v>103</v>
      </c>
      <c r="B11" s="97">
        <v>102</v>
      </c>
      <c r="C11" s="97" t="s">
        <v>748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382</v>
      </c>
      <c r="K11" s="99">
        <f>VLOOKUP(Ahu_Ashrae_Generic[[#This Row],[Occupancy Category]],Ashrae90.1Vent[#All],2,FALSE)</f>
        <v>5</v>
      </c>
      <c r="L11" s="99">
        <f>VLOOKUP(Ahu_Ashrae_Generic[[#This Row],[Occupancy Category]],Ashrae90.1Vent[#All],3,FALSE)</f>
        <v>0.06</v>
      </c>
      <c r="M11" s="99">
        <f>VLOOKUP(Ahu_Ashrae_Generic[[#This Row],[Occupancy Category]],Ashrae90.1Vent[#All],4,FALSE)</f>
        <v>5</v>
      </c>
      <c r="N11" s="99">
        <f>Ahu_Ashrae_Generic[[#This Row],[OCCUPANT DENSITY
('#/1000 FT²)]]*Ahu_Ashrae_Generic[[#This Row],[RP
(CFM/PER PERSON)]]</f>
        <v>25</v>
      </c>
      <c r="O11" s="99">
        <f>Ahu_Ashrae_Generic[[#This Row],[RA
(CFM/FT²)]]*Ahu_Ashrae_Generic[[#This Row],[AREA (FT²)]]</f>
        <v>33</v>
      </c>
      <c r="P11" s="99">
        <f>VLOOKUP(Ahu_Ashrae_Generic[[#This Row],[Occupancy Category]],Ashrae90.1Vent[#All],5,FALSE)</f>
        <v>1</v>
      </c>
      <c r="Q11" s="99">
        <f t="shared" si="0"/>
        <v>3</v>
      </c>
      <c r="R11" s="101">
        <f>IF(($R$1/Ahu_Ashrae_Generic[[#Totals],[Occupants (Pz)]])&gt;1,1,$R$1/Ahu_Ashrae_Generic[[#Totals],[Occupants (Pz)]])</f>
        <v>0.5376344086021505</v>
      </c>
      <c r="S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1" s="101">
        <v>0.62847194525904204</v>
      </c>
      <c r="U11" s="100">
        <f>Ahu_Ashrae_Generic[[#This Row],[Uncorrected OA (Vou)]]/Ahu_Ashrae_Generic[[#This Row],[System Efficiency (Ev)]]</f>
        <v>65.340253353881025</v>
      </c>
      <c r="V11" s="100">
        <f>(Ahu_Ashrae_Generic[[#This Row],[RP
(CFM/PER PERSON)]]*Ahu_Ashrae_Generic[[#This Row],[Occupants (Pz)]])+(Ahu_Ashrae_Generic[[#This Row],[RA
(CFM/FT²)]]*Ahu_Ashrae_Generic[[#This Row],[AREA (FT²)]])</f>
        <v>48</v>
      </c>
      <c r="W11" s="97">
        <v>0.8</v>
      </c>
      <c r="X11" s="100">
        <f>Ahu_Ashrae_Generic[[#This Row],[Breathing Zone OA (Vbz)]]/Ahu_Ashrae_Generic[[#This Row],[Zone Efficiency (Ez)]]</f>
        <v>60</v>
      </c>
      <c r="Y11" s="312" t="s">
        <v>49</v>
      </c>
      <c r="Z11" s="99" t="str" cm="1">
        <f t="array" aca="1" ref="Z11" ca="1">co2requirement(Ahu_Ashrae_Generic[[#This Row],[AREA (FT²)]],Ahu_Ashrae_Generic[[#This Row],[EXHAUST RECOVERY]],INPUT_OUTPUTS!$C$6,Ahu_Ashrae_Generic[[#This Row],[Occupant Component]])</f>
        <v>NO</v>
      </c>
      <c r="AA11" s="100" t="str">
        <f>VLOOKUP(Ahu_Ashrae_Generic[[#This Row],[Occupancy Category]],Ashrae90.1Vent[#All],6,FALSE)</f>
        <v>YES</v>
      </c>
      <c r="AB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1" s="144">
        <v>0</v>
      </c>
      <c r="AD11" s="100" t="str">
        <f>IF(Ahu_Ashrae_Generic[[#This Row],[Exhaust Category]] = "NOT APPLICABLE","NR","YES")</f>
        <v>NR</v>
      </c>
      <c r="AE11" s="100" t="str">
        <f>IF(Ahu_Ashrae_Generic[[#This Row],[Exhaust Category]]="NOT APPLICABLE","NA",VLOOKUP(Ahu_Ashrae_Generic[[#This Row],[Exhaust Category]],ASHRAE_EA_Table[#All],2,FALSE))</f>
        <v>NA</v>
      </c>
      <c r="AF11" s="100" t="str">
        <f>IF(Ahu_Ashrae_Generic[[#This Row],[Exhaust Category]]="NOT APPLICABLE","NA",VLOOKUP(Ahu_Ashrae_Generic[[#This Row],[Exhaust Category]],ASHRAE_EA_Table[#All],3,FALSE))</f>
        <v>NA</v>
      </c>
      <c r="AG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1" s="100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1" s="144">
        <f ca="1">Ahu_Ashrae_Generic[[#This Row],[Calculated VAV Max CFM]]</f>
        <v>550</v>
      </c>
      <c r="AK11" s="97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1" s="97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1" s="69">
        <f ca="1">Ahu_Ashrae_Generic[[#This Row],[OUTSIDE AIRFLOW (CFM) (Vot)]]/Ahu_Ashrae_Generic[[#This Row],[DESIGN VAV MAX SA(CFM)]]</f>
        <v>0.11880046064342005</v>
      </c>
    </row>
    <row r="12" spans="1:39" ht="15.6">
      <c r="A12" s="97" t="s">
        <v>103</v>
      </c>
      <c r="B12" s="97">
        <v>102</v>
      </c>
      <c r="C12" s="97" t="s">
        <v>748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VLOOKUP(Ahu_Ashrae_Generic[[#This Row],[Occupancy Category]],Ashrae90.1Vent[#All],2,FALSE)</f>
        <v>5</v>
      </c>
      <c r="L12" s="99">
        <f>VLOOKUP(Ahu_Ashrae_Generic[[#This Row],[Occupancy Category]],Ashrae90.1Vent[#All],3,FALSE)</f>
        <v>0.06</v>
      </c>
      <c r="M12" s="99">
        <f>VLOOKUP(Ahu_Ashrae_Generic[[#This Row],[Occupancy Category]],Ashrae90.1Vent[#All],4,FALSE)</f>
        <v>50</v>
      </c>
      <c r="N12" s="99">
        <f>Ahu_Ashrae_Generic[[#This Row],[OCCUPANT DENSITY
('#/1000 FT²)]]*Ahu_Ashrae_Generic[[#This Row],[RP
(CFM/PER PERSON)]]</f>
        <v>250</v>
      </c>
      <c r="O12" s="99">
        <f>Ahu_Ashrae_Generic[[#This Row],[RA
(CFM/FT²)]]*Ahu_Ashrae_Generic[[#This Row],[AREA (FT²)]]</f>
        <v>33</v>
      </c>
      <c r="P12" s="99">
        <f>VLOOKUP(Ahu_Ashrae_Generic[[#This Row],[Occupancy Category]],Ashrae90.1Vent[#All],5,FALSE)</f>
        <v>1</v>
      </c>
      <c r="Q12" s="99">
        <f t="shared" si="0"/>
        <v>28</v>
      </c>
      <c r="R12" s="101">
        <f>IF(($R$1/Ahu_Ashrae_Generic[[#Totals],[Occupants (Pz)]])&gt;1,1,$R$1/Ahu_Ashrae_Generic[[#Totals],[Occupants (Pz)]])</f>
        <v>0.5376344086021505</v>
      </c>
      <c r="S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2" s="101">
        <v>0.62847194525904204</v>
      </c>
      <c r="U12" s="100">
        <f>Ahu_Ashrae_Generic[[#This Row],[Uncorrected OA (Vou)]]/Ahu_Ashrae_Generic[[#This Row],[System Efficiency (Ev)]]</f>
        <v>172.27311102912492</v>
      </c>
      <c r="V12" s="100">
        <f>(Ahu_Ashrae_Generic[[#This Row],[RP
(CFM/PER PERSON)]]*Ahu_Ashrae_Generic[[#This Row],[Occupants (Pz)]])+(Ahu_Ashrae_Generic[[#This Row],[RA
(CFM/FT²)]]*Ahu_Ashrae_Generic[[#This Row],[AREA (FT²)]])</f>
        <v>173</v>
      </c>
      <c r="W12" s="97">
        <v>0.8</v>
      </c>
      <c r="X12" s="100">
        <f>Ahu_Ashrae_Generic[[#This Row],[Breathing Zone OA (Vbz)]]/Ahu_Ashrae_Generic[[#This Row],[Zone Efficiency (Ez)]]</f>
        <v>216.25</v>
      </c>
      <c r="Y12" s="312" t="s">
        <v>49</v>
      </c>
      <c r="Z12" s="99" t="str" cm="1">
        <f t="array" aca="1" ref="Z12" ca="1">co2requirement(Ahu_Ashrae_Generic[[#This Row],[AREA (FT²)]],Ahu_Ashrae_Generic[[#This Row],[EXHAUST RECOVERY]],INPUT_OUTPUTS!$C$6,Ahu_Ashrae_Generic[[#This Row],[Occupant Component]])</f>
        <v>YES</v>
      </c>
      <c r="AA12" s="100" t="str">
        <f>VLOOKUP(Ahu_Ashrae_Generic[[#This Row],[Occupancy Category]],Ashrae90.1Vent[#All],6,FALSE)</f>
        <v>YES</v>
      </c>
      <c r="AB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2" s="144">
        <v>0</v>
      </c>
      <c r="AD12" s="100" t="str">
        <f>IF(Ahu_Ashrae_Generic[[#This Row],[Exhaust Category]] = "NOT APPLICABLE","NR","YES")</f>
        <v>NR</v>
      </c>
      <c r="AE12" s="100" t="str">
        <f>IF(Ahu_Ashrae_Generic[[#This Row],[Exhaust Category]]="NOT APPLICABLE","NA",VLOOKUP(Ahu_Ashrae_Generic[[#This Row],[Exhaust Category]],ASHRAE_EA_Table[#All],2,FALSE))</f>
        <v>NA</v>
      </c>
      <c r="AF12" s="100" t="str">
        <f>IF(Ahu_Ashrae_Generic[[#This Row],[Exhaust Category]]="NOT APPLICABLE","NA",VLOOKUP(Ahu_Ashrae_Generic[[#This Row],[Exhaust Category]],ASHRAE_EA_Table[#All],3,FALSE))</f>
        <v>NA</v>
      </c>
      <c r="AG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2" s="100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2" s="144">
        <f ca="1">Ahu_Ashrae_Generic[[#This Row],[Calculated VAV Max CFM]]</f>
        <v>550</v>
      </c>
      <c r="AK12" s="97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2" s="97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2" s="69">
        <f ca="1">Ahu_Ashrae_Generic[[#This Row],[OUTSIDE AIRFLOW (CFM) (Vot)]]/Ahu_Ashrae_Generic[[#This Row],[DESIGN VAV MAX SA(CFM)]]</f>
        <v>0.31322383823477257</v>
      </c>
    </row>
    <row r="13" spans="1:39" ht="15.6">
      <c r="A13" s="97" t="s">
        <v>103</v>
      </c>
      <c r="B13" s="97">
        <v>102</v>
      </c>
      <c r="C13" s="97" t="s">
        <v>748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VLOOKUP(Ahu_Ashrae_Generic[[#This Row],[Occupancy Category]],Ashrae90.1Vent[#All],2,FALSE)</f>
        <v>5</v>
      </c>
      <c r="L13" s="99">
        <f>VLOOKUP(Ahu_Ashrae_Generic[[#This Row],[Occupancy Category]],Ashrae90.1Vent[#All],3,FALSE)</f>
        <v>0.06</v>
      </c>
      <c r="M13" s="99">
        <f>VLOOKUP(Ahu_Ashrae_Generic[[#This Row],[Occupancy Category]],Ashrae90.1Vent[#All],4,FALSE)</f>
        <v>50</v>
      </c>
      <c r="N13" s="99">
        <f>Ahu_Ashrae_Generic[[#This Row],[OCCUPANT DENSITY
('#/1000 FT²)]]*Ahu_Ashrae_Generic[[#This Row],[RP
(CFM/PER PERSON)]]</f>
        <v>250</v>
      </c>
      <c r="O13" s="99">
        <f>Ahu_Ashrae_Generic[[#This Row],[RA
(CFM/FT²)]]*Ahu_Ashrae_Generic[[#This Row],[AREA (FT²)]]</f>
        <v>33</v>
      </c>
      <c r="P13" s="99">
        <f>VLOOKUP(Ahu_Ashrae_Generic[[#This Row],[Occupancy Category]],Ashrae90.1Vent[#All],5,FALSE)</f>
        <v>1</v>
      </c>
      <c r="Q13" s="99">
        <f t="shared" si="0"/>
        <v>28</v>
      </c>
      <c r="R13" s="101">
        <f>IF(($R$1/Ahu_Ashrae_Generic[[#Totals],[Occupants (Pz)]])&gt;1,1,$R$1/Ahu_Ashrae_Generic[[#Totals],[Occupants (Pz)]])</f>
        <v>0.5376344086021505</v>
      </c>
      <c r="S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3" s="101">
        <v>0.62847194525904204</v>
      </c>
      <c r="U13" s="100">
        <f>Ahu_Ashrae_Generic[[#This Row],[Uncorrected OA (Vou)]]/Ahu_Ashrae_Generic[[#This Row],[System Efficiency (Ev)]]</f>
        <v>172.27311102912492</v>
      </c>
      <c r="V13" s="100">
        <f>(Ahu_Ashrae_Generic[[#This Row],[RP
(CFM/PER PERSON)]]*Ahu_Ashrae_Generic[[#This Row],[Occupants (Pz)]])+(Ahu_Ashrae_Generic[[#This Row],[RA
(CFM/FT²)]]*Ahu_Ashrae_Generic[[#This Row],[AREA (FT²)]])</f>
        <v>173</v>
      </c>
      <c r="W13" s="97">
        <v>0.8</v>
      </c>
      <c r="X13" s="100">
        <f>Ahu_Ashrae_Generic[[#This Row],[Breathing Zone OA (Vbz)]]/Ahu_Ashrae_Generic[[#This Row],[Zone Efficiency (Ez)]]</f>
        <v>216.25</v>
      </c>
      <c r="Y13" s="312" t="s">
        <v>49</v>
      </c>
      <c r="Z13" s="99" t="str" cm="1">
        <f t="array" aca="1" ref="Z13" ca="1">co2requirement(Ahu_Ashrae_Generic[[#This Row],[AREA (FT²)]],Ahu_Ashrae_Generic[[#This Row],[EXHAUST RECOVERY]],INPUT_OUTPUTS!$C$6,Ahu_Ashrae_Generic[[#This Row],[Occupant Component]])</f>
        <v>YES</v>
      </c>
      <c r="AA13" s="100" t="str">
        <f>VLOOKUP(Ahu_Ashrae_Generic[[#This Row],[Occupancy Category]],Ashrae90.1Vent[#All],6,FALSE)</f>
        <v>YES</v>
      </c>
      <c r="AB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3" s="144">
        <v>0</v>
      </c>
      <c r="AD13" s="100" t="str">
        <f>IF(Ahu_Ashrae_Generic[[#This Row],[Exhaust Category]] = "NOT APPLICABLE","NR","YES")</f>
        <v>NR</v>
      </c>
      <c r="AE13" s="100" t="str">
        <f>IF(Ahu_Ashrae_Generic[[#This Row],[Exhaust Category]]="NOT APPLICABLE","NA",VLOOKUP(Ahu_Ashrae_Generic[[#This Row],[Exhaust Category]],ASHRAE_EA_Table[#All],2,FALSE))</f>
        <v>NA</v>
      </c>
      <c r="AF13" s="100" t="str">
        <f>IF(Ahu_Ashrae_Generic[[#This Row],[Exhaust Category]]="NOT APPLICABLE","NA",VLOOKUP(Ahu_Ashrae_Generic[[#This Row],[Exhaust Category]],ASHRAE_EA_Table[#All],3,FALSE))</f>
        <v>NA</v>
      </c>
      <c r="AG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3" s="100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3" s="144">
        <f ca="1">Ahu_Ashrae_Generic[[#This Row],[Calculated VAV Max CFM]]</f>
        <v>550</v>
      </c>
      <c r="AK13" s="97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3" s="97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3" s="69">
        <f ca="1">Ahu_Ashrae_Generic[[#This Row],[OUTSIDE AIRFLOW (CFM) (Vot)]]/Ahu_Ashrae_Generic[[#This Row],[DESIGN VAV MAX SA(CFM)]]</f>
        <v>0.31322383823477257</v>
      </c>
    </row>
    <row r="14" spans="1:39" ht="15.6">
      <c r="A14" s="97" t="s">
        <v>103</v>
      </c>
      <c r="B14" s="97">
        <v>102</v>
      </c>
      <c r="C14" s="97" t="s">
        <v>748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VLOOKUP(Ahu_Ashrae_Generic[[#This Row],[Occupancy Category]],Ashrae90.1Vent[#All],2,FALSE)</f>
        <v>5</v>
      </c>
      <c r="L14" s="99">
        <f>VLOOKUP(Ahu_Ashrae_Generic[[#This Row],[Occupancy Category]],Ashrae90.1Vent[#All],3,FALSE)</f>
        <v>0.06</v>
      </c>
      <c r="M14" s="99">
        <f>VLOOKUP(Ahu_Ashrae_Generic[[#This Row],[Occupancy Category]],Ashrae90.1Vent[#All],4,FALSE)</f>
        <v>50</v>
      </c>
      <c r="N14" s="99">
        <f>Ahu_Ashrae_Generic[[#This Row],[OCCUPANT DENSITY
('#/1000 FT²)]]*Ahu_Ashrae_Generic[[#This Row],[RP
(CFM/PER PERSON)]]</f>
        <v>250</v>
      </c>
      <c r="O14" s="99">
        <f>Ahu_Ashrae_Generic[[#This Row],[RA
(CFM/FT²)]]*Ahu_Ashrae_Generic[[#This Row],[AREA (FT²)]]</f>
        <v>33</v>
      </c>
      <c r="P14" s="99">
        <f>VLOOKUP(Ahu_Ashrae_Generic[[#This Row],[Occupancy Category]],Ashrae90.1Vent[#All],5,FALSE)</f>
        <v>1</v>
      </c>
      <c r="Q14" s="99">
        <f t="shared" si="0"/>
        <v>28</v>
      </c>
      <c r="R14" s="101">
        <f>IF(($R$1/Ahu_Ashrae_Generic[[#Totals],[Occupants (Pz)]])&gt;1,1,$R$1/Ahu_Ashrae_Generic[[#Totals],[Occupants (Pz)]])</f>
        <v>0.5376344086021505</v>
      </c>
      <c r="S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4" s="101">
        <v>0.62847194525904204</v>
      </c>
      <c r="U14" s="100">
        <f>Ahu_Ashrae_Generic[[#This Row],[Uncorrected OA (Vou)]]/Ahu_Ashrae_Generic[[#This Row],[System Efficiency (Ev)]]</f>
        <v>172.27311102912492</v>
      </c>
      <c r="V14" s="100">
        <f>(Ahu_Ashrae_Generic[[#This Row],[RP
(CFM/PER PERSON)]]*Ahu_Ashrae_Generic[[#This Row],[Occupants (Pz)]])+(Ahu_Ashrae_Generic[[#This Row],[RA
(CFM/FT²)]]*Ahu_Ashrae_Generic[[#This Row],[AREA (FT²)]])</f>
        <v>173</v>
      </c>
      <c r="W14" s="97">
        <v>0.8</v>
      </c>
      <c r="X14" s="100">
        <f>Ahu_Ashrae_Generic[[#This Row],[Breathing Zone OA (Vbz)]]/Ahu_Ashrae_Generic[[#This Row],[Zone Efficiency (Ez)]]</f>
        <v>216.25</v>
      </c>
      <c r="Y14" s="312" t="s">
        <v>49</v>
      </c>
      <c r="Z14" s="99" t="str" cm="1">
        <f t="array" aca="1" ref="Z14" ca="1">co2requirement(Ahu_Ashrae_Generic[[#This Row],[AREA (FT²)]],Ahu_Ashrae_Generic[[#This Row],[EXHAUST RECOVERY]],INPUT_OUTPUTS!$C$6,Ahu_Ashrae_Generic[[#This Row],[Occupant Component]])</f>
        <v>YES</v>
      </c>
      <c r="AA14" s="100" t="str">
        <f>VLOOKUP(Ahu_Ashrae_Generic[[#This Row],[Occupancy Category]],Ashrae90.1Vent[#All],6,FALSE)</f>
        <v>YES</v>
      </c>
      <c r="AB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4" s="144">
        <v>0</v>
      </c>
      <c r="AD14" s="100" t="str">
        <f>IF(Ahu_Ashrae_Generic[[#This Row],[Exhaust Category]] = "NOT APPLICABLE","NR","YES")</f>
        <v>NR</v>
      </c>
      <c r="AE14" s="100" t="str">
        <f>IF(Ahu_Ashrae_Generic[[#This Row],[Exhaust Category]]="NOT APPLICABLE","NA",VLOOKUP(Ahu_Ashrae_Generic[[#This Row],[Exhaust Category]],ASHRAE_EA_Table[#All],2,FALSE))</f>
        <v>NA</v>
      </c>
      <c r="AF14" s="100" t="str">
        <f>IF(Ahu_Ashrae_Generic[[#This Row],[Exhaust Category]]="NOT APPLICABLE","NA",VLOOKUP(Ahu_Ashrae_Generic[[#This Row],[Exhaust Category]],ASHRAE_EA_Table[#All],3,FALSE))</f>
        <v>NA</v>
      </c>
      <c r="AG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4" s="100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4" s="144">
        <f ca="1">Ahu_Ashrae_Generic[[#This Row],[Calculated VAV Max CFM]]</f>
        <v>550</v>
      </c>
      <c r="AK14" s="97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4" s="97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4" s="69">
        <f ca="1">Ahu_Ashrae_Generic[[#This Row],[OUTSIDE AIRFLOW (CFM) (Vot)]]/Ahu_Ashrae_Generic[[#This Row],[DESIGN VAV MAX SA(CFM)]]</f>
        <v>0.31322383823477257</v>
      </c>
    </row>
    <row r="15" spans="1:39" ht="15.6">
      <c r="A15" s="97" t="s">
        <v>103</v>
      </c>
      <c r="B15" s="97">
        <v>102</v>
      </c>
      <c r="C15" s="97" t="s">
        <v>748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VLOOKUP(Ahu_Ashrae_Generic[[#This Row],[Occupancy Category]],Ashrae90.1Vent[#All],2,FALSE)</f>
        <v>5</v>
      </c>
      <c r="L15" s="99">
        <f>VLOOKUP(Ahu_Ashrae_Generic[[#This Row],[Occupancy Category]],Ashrae90.1Vent[#All],3,FALSE)</f>
        <v>0.06</v>
      </c>
      <c r="M15" s="99">
        <f>VLOOKUP(Ahu_Ashrae_Generic[[#This Row],[Occupancy Category]],Ashrae90.1Vent[#All],4,FALSE)</f>
        <v>50</v>
      </c>
      <c r="N15" s="99">
        <f>Ahu_Ashrae_Generic[[#This Row],[OCCUPANT DENSITY
('#/1000 FT²)]]*Ahu_Ashrae_Generic[[#This Row],[RP
(CFM/PER PERSON)]]</f>
        <v>250</v>
      </c>
      <c r="O15" s="99">
        <f>Ahu_Ashrae_Generic[[#This Row],[RA
(CFM/FT²)]]*Ahu_Ashrae_Generic[[#This Row],[AREA (FT²)]]</f>
        <v>33</v>
      </c>
      <c r="P15" s="99">
        <f>VLOOKUP(Ahu_Ashrae_Generic[[#This Row],[Occupancy Category]],Ashrae90.1Vent[#All],5,FALSE)</f>
        <v>1</v>
      </c>
      <c r="Q15" s="99">
        <f t="shared" si="0"/>
        <v>28</v>
      </c>
      <c r="R15" s="101">
        <f>IF(($R$1/Ahu_Ashrae_Generic[[#Totals],[Occupants (Pz)]])&gt;1,1,$R$1/Ahu_Ashrae_Generic[[#Totals],[Occupants (Pz)]])</f>
        <v>0.5376344086021505</v>
      </c>
      <c r="S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5" s="101">
        <v>0.62847194525904204</v>
      </c>
      <c r="U15" s="100">
        <f>Ahu_Ashrae_Generic[[#This Row],[Uncorrected OA (Vou)]]/Ahu_Ashrae_Generic[[#This Row],[System Efficiency (Ev)]]</f>
        <v>172.27311102912492</v>
      </c>
      <c r="V15" s="100">
        <f>(Ahu_Ashrae_Generic[[#This Row],[RP
(CFM/PER PERSON)]]*Ahu_Ashrae_Generic[[#This Row],[Occupants (Pz)]])+(Ahu_Ashrae_Generic[[#This Row],[RA
(CFM/FT²)]]*Ahu_Ashrae_Generic[[#This Row],[AREA (FT²)]])</f>
        <v>173</v>
      </c>
      <c r="W15" s="97">
        <v>0.8</v>
      </c>
      <c r="X15" s="100">
        <f>Ahu_Ashrae_Generic[[#This Row],[Breathing Zone OA (Vbz)]]/Ahu_Ashrae_Generic[[#This Row],[Zone Efficiency (Ez)]]</f>
        <v>216.25</v>
      </c>
      <c r="Y15" s="312" t="s">
        <v>49</v>
      </c>
      <c r="Z15" s="99" t="str" cm="1">
        <f t="array" aca="1" ref="Z15" ca="1">co2requirement(Ahu_Ashrae_Generic[[#This Row],[AREA (FT²)]],Ahu_Ashrae_Generic[[#This Row],[EXHAUST RECOVERY]],INPUT_OUTPUTS!$C$6,Ahu_Ashrae_Generic[[#This Row],[Occupant Component]])</f>
        <v>YES</v>
      </c>
      <c r="AA15" s="100" t="str">
        <f>VLOOKUP(Ahu_Ashrae_Generic[[#This Row],[Occupancy Category]],Ashrae90.1Vent[#All],6,FALSE)</f>
        <v>YES</v>
      </c>
      <c r="AB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5" s="144">
        <v>0</v>
      </c>
      <c r="AD15" s="100" t="str">
        <f>IF(Ahu_Ashrae_Generic[[#This Row],[Exhaust Category]] = "NOT APPLICABLE","NR","YES")</f>
        <v>NR</v>
      </c>
      <c r="AE15" s="100" t="str">
        <f>IF(Ahu_Ashrae_Generic[[#This Row],[Exhaust Category]]="NOT APPLICABLE","NA",VLOOKUP(Ahu_Ashrae_Generic[[#This Row],[Exhaust Category]],ASHRAE_EA_Table[#All],2,FALSE))</f>
        <v>NA</v>
      </c>
      <c r="AF15" s="100" t="str">
        <f>IF(Ahu_Ashrae_Generic[[#This Row],[Exhaust Category]]="NOT APPLICABLE","NA",VLOOKUP(Ahu_Ashrae_Generic[[#This Row],[Exhaust Category]],ASHRAE_EA_Table[#All],3,FALSE))</f>
        <v>NA</v>
      </c>
      <c r="AG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5" s="100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5" s="144">
        <f ca="1">Ahu_Ashrae_Generic[[#This Row],[Calculated VAV Max CFM]]</f>
        <v>550</v>
      </c>
      <c r="AK15" s="97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5" s="97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5" s="69">
        <f ca="1">Ahu_Ashrae_Generic[[#This Row],[OUTSIDE AIRFLOW (CFM) (Vot)]]/Ahu_Ashrae_Generic[[#This Row],[DESIGN VAV MAX SA(CFM)]]</f>
        <v>0.31322383823477257</v>
      </c>
    </row>
    <row r="16" spans="1:39" ht="15.6">
      <c r="A16" s="97" t="s">
        <v>103</v>
      </c>
      <c r="B16" s="97">
        <v>102</v>
      </c>
      <c r="C16" s="97" t="s">
        <v>748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VLOOKUP(Ahu_Ashrae_Generic[[#This Row],[Occupancy Category]],Ashrae90.1Vent[#All],2,FALSE)</f>
        <v>5</v>
      </c>
      <c r="L16" s="99">
        <f>VLOOKUP(Ahu_Ashrae_Generic[[#This Row],[Occupancy Category]],Ashrae90.1Vent[#All],3,FALSE)</f>
        <v>0.06</v>
      </c>
      <c r="M16" s="99">
        <f>VLOOKUP(Ahu_Ashrae_Generic[[#This Row],[Occupancy Category]],Ashrae90.1Vent[#All],4,FALSE)</f>
        <v>50</v>
      </c>
      <c r="N16" s="99">
        <f>Ahu_Ashrae_Generic[[#This Row],[OCCUPANT DENSITY
('#/1000 FT²)]]*Ahu_Ashrae_Generic[[#This Row],[RP
(CFM/PER PERSON)]]</f>
        <v>250</v>
      </c>
      <c r="O16" s="99">
        <f>Ahu_Ashrae_Generic[[#This Row],[RA
(CFM/FT²)]]*Ahu_Ashrae_Generic[[#This Row],[AREA (FT²)]]</f>
        <v>33</v>
      </c>
      <c r="P16" s="99">
        <f>VLOOKUP(Ahu_Ashrae_Generic[[#This Row],[Occupancy Category]],Ashrae90.1Vent[#All],5,FALSE)</f>
        <v>1</v>
      </c>
      <c r="Q16" s="99">
        <f t="shared" si="0"/>
        <v>28</v>
      </c>
      <c r="R16" s="101">
        <f>IF(($R$1/Ahu_Ashrae_Generic[[#Totals],[Occupants (Pz)]])&gt;1,1,$R$1/Ahu_Ashrae_Generic[[#Totals],[Occupants (Pz)]])</f>
        <v>0.5376344086021505</v>
      </c>
      <c r="S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6" s="101">
        <v>0.62847194525904204</v>
      </c>
      <c r="U16" s="100">
        <f>Ahu_Ashrae_Generic[[#This Row],[Uncorrected OA (Vou)]]/Ahu_Ashrae_Generic[[#This Row],[System Efficiency (Ev)]]</f>
        <v>172.27311102912492</v>
      </c>
      <c r="V16" s="100">
        <f>(Ahu_Ashrae_Generic[[#This Row],[RP
(CFM/PER PERSON)]]*Ahu_Ashrae_Generic[[#This Row],[Occupants (Pz)]])+(Ahu_Ashrae_Generic[[#This Row],[RA
(CFM/FT²)]]*Ahu_Ashrae_Generic[[#This Row],[AREA (FT²)]])</f>
        <v>173</v>
      </c>
      <c r="W16" s="97">
        <v>0.8</v>
      </c>
      <c r="X16" s="100">
        <f>Ahu_Ashrae_Generic[[#This Row],[Breathing Zone OA (Vbz)]]/Ahu_Ashrae_Generic[[#This Row],[Zone Efficiency (Ez)]]</f>
        <v>216.25</v>
      </c>
      <c r="Y16" s="312" t="s">
        <v>49</v>
      </c>
      <c r="Z16" s="99" t="str" cm="1">
        <f t="array" aca="1" ref="Z16" ca="1">co2requirement(Ahu_Ashrae_Generic[[#This Row],[AREA (FT²)]],Ahu_Ashrae_Generic[[#This Row],[EXHAUST RECOVERY]],INPUT_OUTPUTS!$C$6,Ahu_Ashrae_Generic[[#This Row],[Occupant Component]])</f>
        <v>YES</v>
      </c>
      <c r="AA16" s="100" t="str">
        <f>VLOOKUP(Ahu_Ashrae_Generic[[#This Row],[Occupancy Category]],Ashrae90.1Vent[#All],6,FALSE)</f>
        <v>YES</v>
      </c>
      <c r="AB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6" s="144">
        <v>0</v>
      </c>
      <c r="AD16" s="100" t="str">
        <f>IF(Ahu_Ashrae_Generic[[#This Row],[Exhaust Category]] = "NOT APPLICABLE","NR","YES")</f>
        <v>NR</v>
      </c>
      <c r="AE16" s="100" t="str">
        <f>IF(Ahu_Ashrae_Generic[[#This Row],[Exhaust Category]]="NOT APPLICABLE","NA",VLOOKUP(Ahu_Ashrae_Generic[[#This Row],[Exhaust Category]],ASHRAE_EA_Table[#All],2,FALSE))</f>
        <v>NA</v>
      </c>
      <c r="AF16" s="100" t="str">
        <f>IF(Ahu_Ashrae_Generic[[#This Row],[Exhaust Category]]="NOT APPLICABLE","NA",VLOOKUP(Ahu_Ashrae_Generic[[#This Row],[Exhaust Category]],ASHRAE_EA_Table[#All],3,FALSE))</f>
        <v>NA</v>
      </c>
      <c r="AG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6" s="100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6" s="144">
        <f ca="1">Ahu_Ashrae_Generic[[#This Row],[Calculated VAV Max CFM]]</f>
        <v>550</v>
      </c>
      <c r="AK16" s="97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6" s="97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6" s="69">
        <f ca="1">Ahu_Ashrae_Generic[[#This Row],[OUTSIDE AIRFLOW (CFM) (Vot)]]/Ahu_Ashrae_Generic[[#This Row],[DESIGN VAV MAX SA(CFM)]]</f>
        <v>0.31322383823477257</v>
      </c>
    </row>
    <row r="17" spans="1:39" ht="15.6">
      <c r="A17" s="97" t="s">
        <v>103</v>
      </c>
      <c r="B17" s="97">
        <v>102</v>
      </c>
      <c r="C17" s="97" t="s">
        <v>748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VLOOKUP(Ahu_Ashrae_Generic[[#This Row],[Occupancy Category]],Ashrae90.1Vent[#All],2,FALSE)</f>
        <v>5</v>
      </c>
      <c r="L17" s="99">
        <f>VLOOKUP(Ahu_Ashrae_Generic[[#This Row],[Occupancy Category]],Ashrae90.1Vent[#All],3,FALSE)</f>
        <v>0.06</v>
      </c>
      <c r="M17" s="99">
        <f>VLOOKUP(Ahu_Ashrae_Generic[[#This Row],[Occupancy Category]],Ashrae90.1Vent[#All],4,FALSE)</f>
        <v>50</v>
      </c>
      <c r="N17" s="99">
        <f>Ahu_Ashrae_Generic[[#This Row],[OCCUPANT DENSITY
('#/1000 FT²)]]*Ahu_Ashrae_Generic[[#This Row],[RP
(CFM/PER PERSON)]]</f>
        <v>250</v>
      </c>
      <c r="O17" s="99">
        <f>Ahu_Ashrae_Generic[[#This Row],[RA
(CFM/FT²)]]*Ahu_Ashrae_Generic[[#This Row],[AREA (FT²)]]</f>
        <v>33</v>
      </c>
      <c r="P17" s="99">
        <f>VLOOKUP(Ahu_Ashrae_Generic[[#This Row],[Occupancy Category]],Ashrae90.1Vent[#All],5,FALSE)</f>
        <v>1</v>
      </c>
      <c r="Q17" s="99">
        <f t="shared" si="0"/>
        <v>28</v>
      </c>
      <c r="R17" s="101">
        <f>IF(($R$1/Ahu_Ashrae_Generic[[#Totals],[Occupants (Pz)]])&gt;1,1,$R$1/Ahu_Ashrae_Generic[[#Totals],[Occupants (Pz)]])</f>
        <v>0.5376344086021505</v>
      </c>
      <c r="S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7" s="101">
        <v>0.62847194525904204</v>
      </c>
      <c r="U17" s="100">
        <f>Ahu_Ashrae_Generic[[#This Row],[Uncorrected OA (Vou)]]/Ahu_Ashrae_Generic[[#This Row],[System Efficiency (Ev)]]</f>
        <v>172.27311102912492</v>
      </c>
      <c r="V17" s="100">
        <f>(Ahu_Ashrae_Generic[[#This Row],[RP
(CFM/PER PERSON)]]*Ahu_Ashrae_Generic[[#This Row],[Occupants (Pz)]])+(Ahu_Ashrae_Generic[[#This Row],[RA
(CFM/FT²)]]*Ahu_Ashrae_Generic[[#This Row],[AREA (FT²)]])</f>
        <v>173</v>
      </c>
      <c r="W17" s="97">
        <v>0.8</v>
      </c>
      <c r="X17" s="100">
        <f>Ahu_Ashrae_Generic[[#This Row],[Breathing Zone OA (Vbz)]]/Ahu_Ashrae_Generic[[#This Row],[Zone Efficiency (Ez)]]</f>
        <v>216.25</v>
      </c>
      <c r="Y17" s="312" t="s">
        <v>49</v>
      </c>
      <c r="Z17" s="99" t="str" cm="1">
        <f t="array" aca="1" ref="Z17" ca="1">co2requirement(Ahu_Ashrae_Generic[[#This Row],[AREA (FT²)]],Ahu_Ashrae_Generic[[#This Row],[EXHAUST RECOVERY]],INPUT_OUTPUTS!$C$6,Ahu_Ashrae_Generic[[#This Row],[Occupant Component]])</f>
        <v>YES</v>
      </c>
      <c r="AA17" s="100" t="str">
        <f>VLOOKUP(Ahu_Ashrae_Generic[[#This Row],[Occupancy Category]],Ashrae90.1Vent[#All],6,FALSE)</f>
        <v>YES</v>
      </c>
      <c r="AB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7" s="144">
        <v>0</v>
      </c>
      <c r="AD17" s="100" t="str">
        <f>IF(Ahu_Ashrae_Generic[[#This Row],[Exhaust Category]] = "NOT APPLICABLE","NR","YES")</f>
        <v>NR</v>
      </c>
      <c r="AE17" s="100" t="str">
        <f>IF(Ahu_Ashrae_Generic[[#This Row],[Exhaust Category]]="NOT APPLICABLE","NA",VLOOKUP(Ahu_Ashrae_Generic[[#This Row],[Exhaust Category]],ASHRAE_EA_Table[#All],2,FALSE))</f>
        <v>NA</v>
      </c>
      <c r="AF17" s="100" t="str">
        <f>IF(Ahu_Ashrae_Generic[[#This Row],[Exhaust Category]]="NOT APPLICABLE","NA",VLOOKUP(Ahu_Ashrae_Generic[[#This Row],[Exhaust Category]],ASHRAE_EA_Table[#All],3,FALSE))</f>
        <v>NA</v>
      </c>
      <c r="AG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7" s="100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7" s="144">
        <f ca="1">Ahu_Ashrae_Generic[[#This Row],[Calculated VAV Max CFM]]</f>
        <v>550</v>
      </c>
      <c r="AK17" s="97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7" s="97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7" s="69">
        <f ca="1">Ahu_Ashrae_Generic[[#This Row],[OUTSIDE AIRFLOW (CFM) (Vot)]]/Ahu_Ashrae_Generic[[#This Row],[DESIGN VAV MAX SA(CFM)]]</f>
        <v>0.31322383823477257</v>
      </c>
    </row>
    <row r="18" spans="1:39" ht="15.6">
      <c r="A18" s="292" t="s">
        <v>108</v>
      </c>
      <c r="B18" s="292"/>
      <c r="C18" s="293">
        <f>SUBTOTAL(103,Ahu_Ashrae_Generic[Room])</f>
        <v>13</v>
      </c>
      <c r="D18" s="294">
        <f>SUBTOTAL(109,Ahu_Ashrae_Generic[AREA (FT²)])</f>
        <v>7150</v>
      </c>
      <c r="E18" s="297">
        <f>SUBTOTAL(109,Ahu_Ashrae_Generic[Desired Room Balance])</f>
        <v>-50</v>
      </c>
      <c r="F18" s="295"/>
      <c r="G18" s="296"/>
      <c r="H18" s="297">
        <f>SUBTOTAL(109,Ahu_Ashrae_Generic[LOAD (CFM)])</f>
        <v>4100</v>
      </c>
      <c r="I18" s="292"/>
      <c r="J18" s="292"/>
      <c r="K18" s="298"/>
      <c r="L18" s="298"/>
      <c r="M18" s="298"/>
      <c r="N18" s="298"/>
      <c r="O18" s="298"/>
      <c r="P18" s="298"/>
      <c r="Q18" s="299">
        <f>SUBTOTAL(109,Ahu_Ashrae_Generic[Occupants (Pz)])</f>
        <v>186</v>
      </c>
      <c r="R18" s="299"/>
      <c r="S18" s="300">
        <f>SUBTOTAL(109,Ahu_Ashrae_Generic[Uncorrected OA (Vou)])</f>
        <v>895.99999999999989</v>
      </c>
      <c r="T18" s="298"/>
      <c r="U18" s="300">
        <f>SUBTOTAL(109,Ahu_Ashrae_Generic[OUTSIDE AIRFLOW (CFM) (Vot)])</f>
        <v>1425.6801862980358</v>
      </c>
      <c r="V18" s="300"/>
      <c r="W18" s="300"/>
      <c r="X18" s="300"/>
      <c r="Y18" s="300"/>
      <c r="Z18" s="300"/>
      <c r="AA18" s="300"/>
      <c r="AB18" s="300">
        <f ca="1">SUBTOTAL(109,Ahu_Ashrae_Generic[MIN OA ALLOWABLE (WITH DCV)])</f>
        <v>150</v>
      </c>
      <c r="AC18" s="300"/>
      <c r="AD18" s="300"/>
      <c r="AE18" s="298"/>
      <c r="AF18" s="298"/>
      <c r="AG18" s="298"/>
      <c r="AH18" s="298"/>
      <c r="AI18" s="298"/>
      <c r="AJ18" s="300">
        <f ca="1">SUBTOTAL(109,Ahu_Ashrae_Generic[DESIGN VAV MAX SA(CFM)])</f>
        <v>6900</v>
      </c>
      <c r="AK18" s="300">
        <f ca="1">SUBTOTAL(109,Ahu_Ashrae_Generic[DESIGN RA (CFM)])</f>
        <v>6600</v>
      </c>
      <c r="AL18" s="300">
        <f ca="1">SUBTOTAL(109,Ahu_Ashrae_Generic[DESIGN EA(CFM)])</f>
        <v>350</v>
      </c>
      <c r="AM18" s="75"/>
    </row>
  </sheetData>
  <mergeCells count="5">
    <mergeCell ref="A3:H3"/>
    <mergeCell ref="P1:Q1"/>
    <mergeCell ref="S1:T1"/>
    <mergeCell ref="AJ3:AL3"/>
    <mergeCell ref="I3:AI3"/>
  </mergeCells>
  <phoneticPr fontId="10" type="noConversion"/>
  <conditionalFormatting sqref="AJ5:AJ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98</v>
      </c>
      <c r="E4" s="104" t="s">
        <v>99</v>
      </c>
      <c r="F4" s="104" t="s">
        <v>100</v>
      </c>
      <c r="G4" s="104" t="s">
        <v>101</v>
      </c>
      <c r="H4" s="104" t="s">
        <v>102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103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3240</v>
      </c>
      <c r="E5" s="117">
        <f ca="1">SUMIF(Ahu_Ashrae_Generic[Zone],AHU_VAV_SCHEDULE[[#This Row],[ZONE]],Ahu_Ashrae_Generic[DESIGN VAV MAX SA(CFM)])</f>
        <v>6900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3240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87.5</v>
      </c>
      <c r="N5" s="120">
        <f ca="1">(M5*1000)/(500*(I5-J5))</f>
        <v>5.833333333333333</v>
      </c>
      <c r="O5" s="120">
        <f ca="1">IF(N5&lt;0.5,0.5,N5)</f>
        <v>5.833333333333333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106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87.5</v>
      </c>
      <c r="N7" s="113"/>
      <c r="O7" s="114">
        <f ca="1">SUBTOTAL(109,AHU_VAV_SCHEDULE[GPM])</f>
        <v>6.333333333333333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89" t="s">
        <v>723</v>
      </c>
      <c r="C3" s="290" t="s">
        <v>726</v>
      </c>
      <c r="D3" s="290" t="s">
        <v>725</v>
      </c>
      <c r="E3" s="291" t="s">
        <v>724</v>
      </c>
    </row>
    <row r="4" spans="2:5" ht="18.600000000000001">
      <c r="B4" s="316"/>
      <c r="C4" s="316"/>
      <c r="D4" s="316"/>
      <c r="E4" s="316"/>
    </row>
    <row r="5" spans="2:5" ht="18.600000000000001">
      <c r="B5" s="316"/>
      <c r="C5" s="316"/>
      <c r="D5" s="316"/>
      <c r="E5" s="316"/>
    </row>
    <row r="6" spans="2:5" ht="18.600000000000001">
      <c r="B6" s="316" t="s">
        <v>104</v>
      </c>
      <c r="C6" s="316"/>
      <c r="D6" s="316"/>
      <c r="E6" s="316"/>
    </row>
    <row r="7" spans="2:5" ht="18.600000000000001">
      <c r="B7" s="316" t="s">
        <v>299</v>
      </c>
      <c r="C7" s="316"/>
      <c r="D7" s="316"/>
      <c r="E7" s="316"/>
    </row>
    <row r="8" spans="2:5" ht="18.600000000000001">
      <c r="B8" s="316" t="s">
        <v>312</v>
      </c>
      <c r="C8" s="316"/>
      <c r="D8" s="316"/>
      <c r="E8" s="316"/>
    </row>
    <row r="9" spans="2:5" ht="18.600000000000001">
      <c r="B9" s="316" t="s">
        <v>343</v>
      </c>
      <c r="C9" s="316"/>
      <c r="D9" s="316"/>
      <c r="E9" s="316"/>
    </row>
    <row r="10" spans="2:5" ht="18.600000000000001">
      <c r="B10" s="316" t="s">
        <v>292</v>
      </c>
      <c r="C10" s="316"/>
      <c r="D10" s="316"/>
      <c r="E10" s="316"/>
    </row>
    <row r="11" spans="2:5" ht="18.600000000000001">
      <c r="B11" s="316" t="s">
        <v>359</v>
      </c>
      <c r="C11" s="316"/>
      <c r="D11" s="316"/>
      <c r="E11" s="316"/>
    </row>
    <row r="12" spans="2:5" ht="18.600000000000001">
      <c r="B12" s="316" t="s">
        <v>345</v>
      </c>
      <c r="C12" s="316"/>
      <c r="D12" s="316"/>
      <c r="E12" s="316"/>
    </row>
    <row r="13" spans="2:5" ht="18.600000000000001">
      <c r="B13" s="316" t="s">
        <v>282</v>
      </c>
      <c r="C13" s="316"/>
      <c r="D13" s="316"/>
      <c r="E13" s="316"/>
    </row>
    <row r="14" spans="2:5" ht="18.600000000000001">
      <c r="B14" s="316" t="s">
        <v>268</v>
      </c>
      <c r="C14" s="316"/>
      <c r="D14" s="316"/>
      <c r="E14" s="316"/>
    </row>
    <row r="15" spans="2:5" ht="18.600000000000001">
      <c r="B15" s="316" t="s">
        <v>284</v>
      </c>
      <c r="C15" s="316"/>
      <c r="D15" s="316"/>
      <c r="E15" s="316"/>
    </row>
    <row r="16" spans="2:5" ht="18.600000000000001">
      <c r="B16" s="316" t="s">
        <v>75</v>
      </c>
      <c r="C16" s="316"/>
      <c r="D16" s="316"/>
      <c r="E16" s="316"/>
    </row>
    <row r="17" spans="2:5" ht="18.600000000000001">
      <c r="B17" s="316" t="s">
        <v>107</v>
      </c>
      <c r="C17" s="316"/>
      <c r="D17" s="316"/>
      <c r="E17" s="316"/>
    </row>
    <row r="18" spans="2:5" ht="18.600000000000001">
      <c r="B18" s="316" t="s">
        <v>517</v>
      </c>
      <c r="C18" s="316"/>
      <c r="D18" s="316"/>
      <c r="E18" s="316"/>
    </row>
    <row r="19" spans="2:5" ht="18.600000000000001">
      <c r="B19" s="316" t="s">
        <v>565</v>
      </c>
      <c r="C19" s="316"/>
      <c r="D19" s="316"/>
      <c r="E19" s="316"/>
    </row>
    <row r="20" spans="2:5" ht="18.600000000000001">
      <c r="B20" s="316" t="s">
        <v>104</v>
      </c>
      <c r="C20" s="316"/>
      <c r="D20" s="316"/>
      <c r="E20" s="316"/>
    </row>
    <row r="21" spans="2:5" ht="18.600000000000001">
      <c r="B21" s="316" t="s">
        <v>299</v>
      </c>
      <c r="C21" s="316"/>
      <c r="D21" s="316"/>
      <c r="E21" s="316"/>
    </row>
    <row r="22" spans="2:5" ht="18.600000000000001">
      <c r="B22" s="316" t="s">
        <v>312</v>
      </c>
      <c r="C22" s="316"/>
      <c r="D22" s="316"/>
      <c r="E22" s="316"/>
    </row>
    <row r="23" spans="2:5" ht="18.600000000000001">
      <c r="B23" s="316" t="s">
        <v>343</v>
      </c>
      <c r="C23" s="316"/>
      <c r="D23" s="316"/>
      <c r="E23" s="316"/>
    </row>
    <row r="24" spans="2:5" ht="18.600000000000001">
      <c r="B24" s="316" t="s">
        <v>292</v>
      </c>
      <c r="C24" s="316"/>
      <c r="D24" s="316"/>
      <c r="E24" s="316"/>
    </row>
    <row r="25" spans="2:5" ht="18.600000000000001">
      <c r="B25" s="316" t="s">
        <v>359</v>
      </c>
      <c r="C25" s="316"/>
      <c r="D25" s="316"/>
      <c r="E25" s="316"/>
    </row>
    <row r="26" spans="2:5" ht="18.600000000000001">
      <c r="B26" s="316" t="s">
        <v>345</v>
      </c>
      <c r="C26" s="316"/>
      <c r="D26" s="316"/>
      <c r="E26" s="316"/>
    </row>
    <row r="27" spans="2:5" ht="18.600000000000001">
      <c r="B27" s="316" t="s">
        <v>282</v>
      </c>
      <c r="C27" s="316"/>
      <c r="D27" s="316"/>
      <c r="E27" s="316"/>
    </row>
    <row r="28" spans="2:5" ht="18.600000000000001">
      <c r="B28" s="316" t="s">
        <v>268</v>
      </c>
      <c r="C28" s="316"/>
      <c r="D28" s="316"/>
      <c r="E28" s="316"/>
    </row>
    <row r="29" spans="2:5" ht="18.600000000000001">
      <c r="B29" s="316" t="s">
        <v>284</v>
      </c>
      <c r="C29" s="316"/>
      <c r="D29" s="316"/>
      <c r="E29" s="316"/>
    </row>
    <row r="30" spans="2:5" ht="18.600000000000001">
      <c r="B30" s="316" t="s">
        <v>75</v>
      </c>
      <c r="C30" s="316"/>
      <c r="D30" s="316"/>
      <c r="E30" s="316"/>
    </row>
    <row r="31" spans="2:5" ht="18.600000000000001">
      <c r="B31" s="316" t="s">
        <v>107</v>
      </c>
      <c r="C31" s="316"/>
      <c r="D31" s="316"/>
      <c r="E31" s="316"/>
    </row>
    <row r="32" spans="2:5" ht="18.600000000000001">
      <c r="B32" s="316" t="s">
        <v>517</v>
      </c>
      <c r="C32" s="316"/>
      <c r="D32" s="316"/>
      <c r="E32" s="316"/>
    </row>
    <row r="33" spans="2:5" ht="18.600000000000001">
      <c r="B33" s="316" t="s">
        <v>565</v>
      </c>
      <c r="C33" s="316"/>
      <c r="D33" s="316"/>
      <c r="E33" s="3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4"/>
  <sheetViews>
    <sheetView showGridLines="0" showRowColHeaders="0" zoomScale="85" zoomScaleNormal="85" workbookViewId="0">
      <selection activeCell="D19" sqref="D19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12" width="9.109375" customWidth="1"/>
    <col min="13" max="13" width="9.6640625" customWidth="1"/>
    <col min="14" max="14" width="13.44140625" bestFit="1" customWidth="1"/>
    <col min="15" max="15" width="16.88671875" bestFit="1" customWidth="1"/>
    <col min="16" max="16" width="10" bestFit="1" customWidth="1"/>
    <col min="17" max="17" width="9.33203125" customWidth="1"/>
    <col min="18" max="18" width="9.6640625" customWidth="1"/>
    <col min="19" max="19" width="10.109375" bestFit="1" customWidth="1"/>
    <col min="20" max="21" width="10" customWidth="1"/>
    <col min="22" max="22" width="16.88671875" bestFit="1" customWidth="1"/>
    <col min="23" max="24" width="9.44140625" customWidth="1"/>
    <col min="25" max="25" width="10" bestFit="1" customWidth="1"/>
    <col min="26" max="26" width="9.33203125" customWidth="1"/>
    <col min="27" max="27" width="9.6640625" customWidth="1"/>
    <col min="28" max="28" width="9.109375" customWidth="1"/>
    <col min="29" max="29" width="9.33203125" customWidth="1"/>
    <col min="30" max="30" width="9.6640625" customWidth="1"/>
    <col min="31" max="31" width="9.109375" customWidth="1"/>
    <col min="32" max="32" width="10" customWidth="1"/>
    <col min="33" max="33" width="14.6640625" customWidth="1"/>
    <col min="34" max="34" width="16.88671875" bestFit="1" customWidth="1"/>
    <col min="35" max="36" width="9.44140625" customWidth="1"/>
    <col min="37" max="37" width="12" bestFit="1" customWidth="1"/>
    <col min="38" max="38" width="13.6640625" bestFit="1" customWidth="1"/>
    <col min="39" max="39" width="12.6640625" bestFit="1" customWidth="1"/>
    <col min="40" max="40" width="14.109375" customWidth="1"/>
    <col min="41" max="43" width="14.5546875" bestFit="1" customWidth="1"/>
    <col min="44" max="44" width="17" customWidth="1"/>
    <col min="45" max="46" width="14.6640625" bestFit="1" customWidth="1"/>
    <col min="47" max="47" width="13.88671875" customWidth="1" collapsed="1"/>
    <col min="48" max="48" width="8.33203125" customWidth="1"/>
    <col min="49" max="49" width="16.88671875" bestFit="1" customWidth="1"/>
    <col min="50" max="50" width="17.33203125" bestFit="1" customWidth="1"/>
    <col min="51" max="53" width="16.88671875" bestFit="1" customWidth="1"/>
    <col min="54" max="54" width="14.109375" bestFit="1" customWidth="1"/>
  </cols>
  <sheetData>
    <row r="2" spans="1:54">
      <c r="B2" s="23"/>
      <c r="C2" s="23"/>
    </row>
    <row r="8" spans="1:54" s="17" customFormat="1" ht="12.9" customHeight="1">
      <c r="A8" s="370"/>
      <c r="B8" s="367" t="s">
        <v>181</v>
      </c>
      <c r="C8" s="367"/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367" t="s">
        <v>182</v>
      </c>
      <c r="O8" s="367"/>
      <c r="P8" s="367"/>
      <c r="Q8" s="367"/>
      <c r="R8" s="367"/>
      <c r="S8" s="367"/>
      <c r="T8" s="367"/>
      <c r="U8" s="367"/>
      <c r="V8" s="367"/>
      <c r="W8" s="367"/>
      <c r="X8" s="367"/>
      <c r="Y8" s="367"/>
      <c r="Z8" s="367" t="s">
        <v>183</v>
      </c>
      <c r="AA8" s="367"/>
      <c r="AB8" s="367"/>
      <c r="AC8" s="367"/>
      <c r="AD8" s="367"/>
      <c r="AE8" s="367"/>
      <c r="AF8" s="367"/>
      <c r="AG8" s="367"/>
      <c r="AH8" s="367"/>
      <c r="AI8" s="367"/>
      <c r="AJ8" s="367"/>
      <c r="AK8" s="367"/>
      <c r="AL8" s="367" t="s">
        <v>184</v>
      </c>
      <c r="AM8" s="367"/>
      <c r="AN8" s="367"/>
      <c r="AO8" s="367" t="str">
        <f>IF(INPUT_OUTPUTS!F8&lt;32,"FREEZE PROTECTION COIL","FREEZE PROTECTION COIL(NOT NEEDED)")</f>
        <v>FREEZE PROTECTION COIL</v>
      </c>
      <c r="AP8" s="367"/>
      <c r="AQ8" s="367"/>
      <c r="AR8" s="367"/>
      <c r="AS8" s="367"/>
      <c r="AT8" s="367"/>
      <c r="AU8" s="367"/>
      <c r="AV8" s="367" t="s">
        <v>683</v>
      </c>
      <c r="AW8" s="367"/>
      <c r="AX8" s="367"/>
      <c r="AY8" s="367"/>
      <c r="AZ8" s="367"/>
      <c r="BA8" s="367"/>
      <c r="BB8" s="367"/>
    </row>
    <row r="9" spans="1:54" s="11" customFormat="1" ht="32.25" customHeight="1">
      <c r="A9" s="370"/>
      <c r="B9" s="368" t="s">
        <v>185</v>
      </c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70" t="s">
        <v>186</v>
      </c>
      <c r="N9" s="368" t="s">
        <v>187</v>
      </c>
      <c r="O9" s="368"/>
      <c r="P9" s="368"/>
      <c r="Q9" s="368"/>
      <c r="R9" s="368"/>
      <c r="S9" s="368"/>
      <c r="T9" s="369" t="s">
        <v>718</v>
      </c>
      <c r="U9" s="369"/>
      <c r="V9" s="371" t="s">
        <v>188</v>
      </c>
      <c r="W9" s="370" t="s">
        <v>189</v>
      </c>
      <c r="X9" s="370"/>
      <c r="Y9" s="370"/>
      <c r="Z9" s="368" t="s">
        <v>187</v>
      </c>
      <c r="AA9" s="368"/>
      <c r="AB9" s="368"/>
      <c r="AC9" s="368"/>
      <c r="AD9" s="368"/>
      <c r="AE9" s="368"/>
      <c r="AF9" s="369" t="s">
        <v>719</v>
      </c>
      <c r="AG9" s="369"/>
      <c r="AH9" s="371" t="s">
        <v>188</v>
      </c>
      <c r="AI9" s="370" t="s">
        <v>190</v>
      </c>
      <c r="AJ9" s="370"/>
      <c r="AK9" s="370"/>
      <c r="AL9" s="371" t="s">
        <v>191</v>
      </c>
      <c r="AM9" s="368" t="s">
        <v>192</v>
      </c>
      <c r="AN9" s="368" t="s">
        <v>193</v>
      </c>
      <c r="AO9" s="127"/>
      <c r="AP9" s="368" t="s">
        <v>194</v>
      </c>
      <c r="AQ9" s="368"/>
      <c r="AR9" s="127"/>
      <c r="AS9" s="370" t="s">
        <v>195</v>
      </c>
      <c r="AT9" s="370"/>
      <c r="AU9" s="370"/>
      <c r="AV9" s="126"/>
      <c r="AW9" s="127"/>
      <c r="AX9" s="127"/>
      <c r="AY9" s="127"/>
      <c r="AZ9" s="127"/>
      <c r="BA9" s="127"/>
      <c r="BB9" s="128"/>
    </row>
    <row r="10" spans="1:54" s="11" customFormat="1" ht="25.5" customHeight="1">
      <c r="A10" s="370"/>
      <c r="B10" s="126" t="s">
        <v>196</v>
      </c>
      <c r="C10" s="373" t="s">
        <v>197</v>
      </c>
      <c r="D10" s="373"/>
      <c r="E10" s="374"/>
      <c r="F10" s="372" t="s">
        <v>198</v>
      </c>
      <c r="G10" s="373"/>
      <c r="H10" s="374"/>
      <c r="I10" s="372" t="s">
        <v>199</v>
      </c>
      <c r="J10" s="373"/>
      <c r="K10" s="374"/>
      <c r="L10" s="126" t="s">
        <v>200</v>
      </c>
      <c r="M10" s="370"/>
      <c r="N10" s="370" t="s">
        <v>201</v>
      </c>
      <c r="O10" s="370"/>
      <c r="P10" s="370"/>
      <c r="Q10" s="370" t="s">
        <v>202</v>
      </c>
      <c r="R10" s="370"/>
      <c r="S10" s="370"/>
      <c r="T10" s="126" t="s">
        <v>203</v>
      </c>
      <c r="U10" s="126" t="s">
        <v>204</v>
      </c>
      <c r="V10" s="371"/>
      <c r="W10" s="370"/>
      <c r="X10" s="370"/>
      <c r="Y10" s="370"/>
      <c r="Z10" s="370" t="s">
        <v>201</v>
      </c>
      <c r="AA10" s="370"/>
      <c r="AB10" s="370"/>
      <c r="AC10" s="370" t="s">
        <v>202</v>
      </c>
      <c r="AD10" s="370"/>
      <c r="AE10" s="370"/>
      <c r="AF10" s="126" t="s">
        <v>203</v>
      </c>
      <c r="AG10" s="126" t="s">
        <v>204</v>
      </c>
      <c r="AH10" s="371"/>
      <c r="AI10" s="129" t="s">
        <v>55</v>
      </c>
      <c r="AJ10" s="129" t="s">
        <v>205</v>
      </c>
      <c r="AK10" s="126" t="s">
        <v>206</v>
      </c>
      <c r="AL10" s="371"/>
      <c r="AM10" s="368"/>
      <c r="AN10" s="368"/>
      <c r="AO10" s="126" t="s">
        <v>207</v>
      </c>
      <c r="AP10" s="126" t="s">
        <v>201</v>
      </c>
      <c r="AQ10" s="126" t="s">
        <v>208</v>
      </c>
      <c r="AR10" s="126" t="s">
        <v>203</v>
      </c>
      <c r="AS10" s="129" t="s">
        <v>55</v>
      </c>
      <c r="AT10" s="129" t="s">
        <v>205</v>
      </c>
      <c r="AU10" s="126" t="s">
        <v>206</v>
      </c>
      <c r="AV10" s="126" t="s">
        <v>207</v>
      </c>
      <c r="AW10" s="126" t="s">
        <v>201</v>
      </c>
      <c r="AX10" s="126" t="s">
        <v>208</v>
      </c>
      <c r="AY10" s="126" t="s">
        <v>203</v>
      </c>
      <c r="AZ10" s="129" t="s">
        <v>55</v>
      </c>
      <c r="BA10" s="129" t="s">
        <v>205</v>
      </c>
      <c r="BB10" s="126" t="s">
        <v>1</v>
      </c>
    </row>
    <row r="11" spans="1:54" s="10" customFormat="1" ht="14.4">
      <c r="A11" s="130" t="s">
        <v>209</v>
      </c>
      <c r="B11" s="131" t="s">
        <v>210</v>
      </c>
      <c r="C11" s="131" t="s">
        <v>211</v>
      </c>
      <c r="D11" s="131" t="s">
        <v>212</v>
      </c>
      <c r="E11" s="131" t="s">
        <v>213</v>
      </c>
      <c r="F11" s="131" t="s">
        <v>214</v>
      </c>
      <c r="G11" s="132" t="s">
        <v>215</v>
      </c>
      <c r="H11" s="132" t="s">
        <v>216</v>
      </c>
      <c r="I11" s="131" t="s">
        <v>217</v>
      </c>
      <c r="J11" s="132" t="s">
        <v>218</v>
      </c>
      <c r="K11" s="132" t="s">
        <v>219</v>
      </c>
      <c r="L11" s="132" t="s">
        <v>220</v>
      </c>
      <c r="M11" s="131" t="s">
        <v>221</v>
      </c>
      <c r="N11" s="132" t="s">
        <v>222</v>
      </c>
      <c r="O11" s="132" t="s">
        <v>223</v>
      </c>
      <c r="P11" s="132" t="s">
        <v>224</v>
      </c>
      <c r="Q11" s="132" t="s">
        <v>225</v>
      </c>
      <c r="R11" s="132" t="s">
        <v>226</v>
      </c>
      <c r="S11" s="132" t="s">
        <v>227</v>
      </c>
      <c r="T11" s="131" t="s">
        <v>228</v>
      </c>
      <c r="U11" s="131" t="s">
        <v>229</v>
      </c>
      <c r="V11" s="133" t="s">
        <v>230</v>
      </c>
      <c r="W11" s="133" t="s">
        <v>231</v>
      </c>
      <c r="X11" s="133" t="s">
        <v>232</v>
      </c>
      <c r="Y11" s="133" t="s">
        <v>1</v>
      </c>
      <c r="Z11" s="132" t="s">
        <v>233</v>
      </c>
      <c r="AA11" s="132" t="s">
        <v>234</v>
      </c>
      <c r="AB11" s="132" t="s">
        <v>235</v>
      </c>
      <c r="AC11" s="132" t="s">
        <v>236</v>
      </c>
      <c r="AD11" s="132" t="s">
        <v>237</v>
      </c>
      <c r="AE11" s="132" t="s">
        <v>238</v>
      </c>
      <c r="AF11" s="131" t="s">
        <v>239</v>
      </c>
      <c r="AG11" s="131" t="s">
        <v>240</v>
      </c>
      <c r="AH11" s="131" t="s">
        <v>241</v>
      </c>
      <c r="AI11" s="133" t="s">
        <v>242</v>
      </c>
      <c r="AJ11" s="133" t="s">
        <v>243</v>
      </c>
      <c r="AK11" s="133" t="s">
        <v>244</v>
      </c>
      <c r="AL11" s="131" t="s">
        <v>245</v>
      </c>
      <c r="AM11" s="134" t="s">
        <v>246</v>
      </c>
      <c r="AN11" s="134" t="s">
        <v>247</v>
      </c>
      <c r="AO11" s="131" t="s">
        <v>248</v>
      </c>
      <c r="AP11" s="132" t="s">
        <v>249</v>
      </c>
      <c r="AQ11" s="132" t="s">
        <v>250</v>
      </c>
      <c r="AR11" s="131" t="s">
        <v>251</v>
      </c>
      <c r="AS11" s="133" t="s">
        <v>252</v>
      </c>
      <c r="AT11" s="133" t="s">
        <v>253</v>
      </c>
      <c r="AU11" s="133" t="s">
        <v>254</v>
      </c>
      <c r="AV11" s="133" t="s">
        <v>52</v>
      </c>
      <c r="AW11" s="132" t="s">
        <v>255</v>
      </c>
      <c r="AX11" s="132" t="s">
        <v>256</v>
      </c>
      <c r="AY11" s="131" t="s">
        <v>257</v>
      </c>
      <c r="AZ11" s="133" t="s">
        <v>681</v>
      </c>
      <c r="BA11" s="133" t="s">
        <v>682</v>
      </c>
      <c r="BB11" s="132" t="s">
        <v>258</v>
      </c>
    </row>
    <row r="12" spans="1:54" s="11" customFormat="1" ht="13.8" hidden="1">
      <c r="A12" s="135"/>
      <c r="B12" s="136" t="e">
        <f>SUM(#REF!)*INPUT_OUTPUTS!$C$18</f>
        <v>#REF!</v>
      </c>
      <c r="C12" s="136" t="e">
        <f>SUM(#REF!)*INPUT_OUTPUTS!$C$18</f>
        <v>#REF!</v>
      </c>
      <c r="D12" s="137">
        <v>78</v>
      </c>
      <c r="E12" s="137">
        <v>60</v>
      </c>
      <c r="F12" s="136" t="e">
        <f>SUM(#REF!)*INPUT_OUTPUTS!$C$18</f>
        <v>#REF!</v>
      </c>
      <c r="G12" s="128">
        <f>INPUT_OUTPUTS!$C$8</f>
        <v>90</v>
      </c>
      <c r="H12" s="128">
        <f>INPUT_OUTPUTS!$C$9</f>
        <v>65</v>
      </c>
      <c r="I12" s="136" t="e">
        <f>AHU_Schedules[[#This Row],[(CFM)3]]</f>
        <v>#REF!</v>
      </c>
      <c r="J12" s="128">
        <f>INPUT_OUTPUTS!$C$10</f>
        <v>80</v>
      </c>
      <c r="K12" s="128">
        <f>INPUT_OUTPUTS!$C$11</f>
        <v>75</v>
      </c>
      <c r="L12" s="128">
        <f>INPUT_OUTPUTS!$F$8</f>
        <v>20</v>
      </c>
      <c r="M12" s="136" t="e">
        <f>C12+F12-B12</f>
        <v>#REF!</v>
      </c>
      <c r="N12" s="128" t="e" cm="1">
        <f t="array" ref="N12">MixedAirTemp(AHU_Schedules[[#This Row],[(CFM)3]],AHU_Schedules[[#This Row],[(˚F db)4]],(AHU_Schedules[[#This Row],[(CFM)2]]-AHU_Schedules[[#This Row],[(CFM)10]]),AHU_Schedules[[#This Row],[(˚F db)]])</f>
        <v>#VALUE!</v>
      </c>
      <c r="O12" s="128" t="e" cm="1">
        <f t="array" ref="O12">MixedAirTemp(AHU_Schedules[[#This Row],[(CFM)3]],AHU_Schedules[[#This Row],[(˚F wb)5]],(AHU_Schedules[[#This Row],[(CFM)2]]-AHU_Schedules[[#This Row],[(CFM)10]]),AHU_Schedules[[#This Row],[(˚F wb)]])</f>
        <v>#VALUE!</v>
      </c>
      <c r="P12" s="128" t="e" cm="1">
        <f t="array" ref="P12">GetMoistAirEnthalpy(AHU_Schedules[[#This Row],[(˚F db)11]],(GetHumRatioFromTWetBulb(AHU_Schedules[[#This Row],[(˚F db)11]],AHU_Schedules[[#This Row],[(˚F wb)12]],GetStandardAtmPressure(INPUT_OUTPUTS!$G$6))))</f>
        <v>#N/A</v>
      </c>
      <c r="Q12" s="138">
        <v>55</v>
      </c>
      <c r="R12" s="138">
        <v>50</v>
      </c>
      <c r="S12" s="128" cm="1">
        <f t="array" ref="S12">GetMoistAirEnthalpy(AHU_Schedules[[#This Row],[(˚F db)13]],(GetHumRatioFromTWetBulb(AHU_Schedules[[#This Row],[(˚F db)13]],AHU_Schedules[[#This Row],[(˚F wb)14]],GetStandardAtmPressure(INPUT_OUTPUTS!$G$6))))</f>
        <v>20.87643265446345</v>
      </c>
      <c r="T12" s="136" t="e">
        <f>B12*1.085*(N12-Q12)</f>
        <v>#REF!</v>
      </c>
      <c r="U12" s="136" t="e">
        <f>4.5*B12*(P12-S12)</f>
        <v>#REF!</v>
      </c>
      <c r="V12" s="129" t="e">
        <f>IF(U12&lt;T12,"INVALID POINT",U12/12000)</f>
        <v>#REF!</v>
      </c>
      <c r="W12" s="129">
        <f>INPUT_OUTPUTS!$C$14</f>
        <v>42</v>
      </c>
      <c r="X12" s="129">
        <f>INPUT_OUTPUTS!$C$15</f>
        <v>56</v>
      </c>
      <c r="Y12" s="139" t="e">
        <f>U12/(500*(X12-W12))</f>
        <v>#REF!</v>
      </c>
      <c r="Z12" s="128" t="e">
        <f>D12*((C12-M12)/B12) + J12*(F12/B12)</f>
        <v>#REF!</v>
      </c>
      <c r="AA12" s="128" t="e">
        <f>TRUNC(E12*((C12-M12)/B12) + K12*(F12/B12),1)</f>
        <v>#REF!</v>
      </c>
      <c r="AB12" s="128" t="e" cm="1">
        <f t="array" ref="AB12">GetMoistAirEnthalpy(AHU_Schedules[[#This Row],[(˚F db)19]],(GetHumRatioFromTWetBulb(AHU_Schedules[[#This Row],[(˚F db)19]],AHU_Schedules[[#This Row],[(˚F wb)20]],GetStandardAtmPressure(INPUT_OUTPUTS!$G$6))))</f>
        <v>#N/A</v>
      </c>
      <c r="AC12" s="128">
        <f>AHU_Schedules[[#This Row],[(˚F db)13]]</f>
        <v>55</v>
      </c>
      <c r="AD12" s="128">
        <f>AHU_Schedules[[#This Row],[(˚F wb)14]]</f>
        <v>50</v>
      </c>
      <c r="AE12" s="128" cm="1">
        <f t="array" ref="AE12">GetMoistAirEnthalpy(AHU_Schedules[[#This Row],[(˚F db)22]],(GetHumRatioFromTWetBulb(AHU_Schedules[[#This Row],[(˚F db)22]],AHU_Schedules[[#This Row],[(˚F wb)23]],GetStandardAtmPressure(INPUT_OUTPUTS!$G$6))))</f>
        <v>20.87643265446345</v>
      </c>
      <c r="AF12" s="136" t="e">
        <f>B12*1.085*(Z12-AC12)</f>
        <v>#REF!</v>
      </c>
      <c r="AG12" s="136" t="e">
        <f>4.5*B12*(AB12-AE12)</f>
        <v>#REF!</v>
      </c>
      <c r="AH12" s="128" t="e">
        <f>IF(AG12&lt;AF12,"INVALID POINT",AG12/12000)</f>
        <v>#REF!</v>
      </c>
      <c r="AI12" s="129">
        <f>INPUT_OUTPUTS!$C$14</f>
        <v>42</v>
      </c>
      <c r="AJ12" s="129">
        <f>INPUT_OUTPUTS!$C$15</f>
        <v>56</v>
      </c>
      <c r="AK12" s="139" t="e">
        <f>AG12/(500*(AJ12-AI12))</f>
        <v>#REF!</v>
      </c>
      <c r="AL12" s="128" t="e">
        <f>MAX(AH12,V12)</f>
        <v>#REF!</v>
      </c>
      <c r="AM12" s="140" t="e">
        <f>B12/AH12</f>
        <v>#REF!</v>
      </c>
      <c r="AN12" s="140" t="e">
        <f>MAX(AHU_Schedules[[#This Row],[GPM33]],AHU_Schedules[[#This Row],[GPM]])</f>
        <v>#REF!</v>
      </c>
      <c r="AO12" s="136" t="e">
        <f>IF(AHU_Schedules[[#This Row],[(˚F db)9]]&lt;35,B12,"NOT NEEDED")</f>
        <v>#REF!</v>
      </c>
      <c r="AP12" s="128">
        <f>IF(AHU_Schedules[[#This Row],[(˚F db)9]]&lt;35,AHU_Schedules[[#This Row],[(˚F db)9]],"NOT NEEDED")</f>
        <v>20</v>
      </c>
      <c r="AQ12" s="128">
        <f>IF(AHU_Schedules[[#This Row],[(˚F db)9]]&lt;35,38,"NOT NEEDED")</f>
        <v>38</v>
      </c>
      <c r="AR12" s="136" t="e">
        <f>IF(AHU_Schedules[[#This Row],[(˚F db)9]]&lt;35,AO12*1.085*(AQ12-AP12)/1000,"NOT NEEDED")</f>
        <v>#REF!</v>
      </c>
      <c r="AS12" s="129">
        <f>IF(AHU_Schedules[[#This Row],[(˚F db)9]]&lt;35,INPUT_OUTPUTS!$C$16,"NOT NEEDED")</f>
        <v>140</v>
      </c>
      <c r="AT12" s="129">
        <f>IF(AHU_Schedules[[#This Row],[(˚F db)9]]&lt;35,INPUT_OUTPUTS!$C$17,"NOT NEEDED")</f>
        <v>110</v>
      </c>
      <c r="AU12" s="139" t="e">
        <f>IF(AHU_Schedules[[#This Row],[(˚F db)9]]&lt;35,(AR12*1000)/(500*(AS12-AT12)),"NOT NEEDED")</f>
        <v>#REF!</v>
      </c>
      <c r="AV12" s="141">
        <v>2000</v>
      </c>
      <c r="AW12" s="128" t="e">
        <f>(AHU_Schedules[[#This Row],[(˚F db)9]]*AHU_Schedules[[#This Row],[(CFM)3]] + AHU_Schedules[[#This Row],[(˚F db)]]*(AHU_Schedules[[#This Row],[CFM]]-AHU_Schedules[[#This Row],[(CFM)3]]))/AHU_Schedules[[#This Row],[CFM]]</f>
        <v>#REF!</v>
      </c>
      <c r="AX12" s="128" t="e">
        <f>IF(AHU_Schedules[[#This Row],[(˚F db)43]]&lt;AHU_Schedules[[#This Row],[(˚F db)13]],AHU_Schedules[[#This Row],[(˚F db)13]],"NOT NEEDED")</f>
        <v>#REF!</v>
      </c>
      <c r="AY12" s="142" t="e">
        <f>IF(AHU_Schedules[[#This Row],[(˚F db)43]]&lt;AHU_Schedules[[#This Row],[(˚F db)13]],(AHU_Schedules[[#This Row],[CFM]]*1.08*(AHU_Schedules[[#This Row],[(˚F db)45]]-AHU_Schedules[[#This Row],[(˚F db)43]]))/1000,"NOT NEEDED")</f>
        <v>#REF!</v>
      </c>
      <c r="AZ12" s="142" t="e">
        <f>IF(AHU_Schedules[[#This Row],[(˚F db)43]]&lt;AHU_Schedules[[#This Row],[(˚F db)13]],INPUT_OUTPUTS!$C$16,"NOT NEEDED")</f>
        <v>#REF!</v>
      </c>
      <c r="BA12" s="142" t="e">
        <f>IF(AHU_Schedules[[#This Row],[(˚F db)43]]&lt;AHU_Schedules[[#This Row],[(˚F db)13]],INPUT_OUTPUTS!$C$17,"NOT NEEDED")</f>
        <v>#REF!</v>
      </c>
      <c r="BB12" s="128" t="e">
        <f>IF(AHU_Schedules[[#This Row],[(˚F db)43]]&lt;AHU_Schedules[[#This Row],[(˚F db)13]],(AHU_Schedules[[#This Row],[(mbh)46]]*1000)/(500*(AHU_Schedules[[#This Row],[(˚F db)392]]-AHU_Schedules[[#This Row],[(˚F db)403]])),"NOT NEEDED")</f>
        <v>#REF!</v>
      </c>
    </row>
    <row r="13" spans="1:54" ht="15.6" thickBot="1">
      <c r="A13" s="18" t="s">
        <v>77</v>
      </c>
      <c r="B13" s="19">
        <f>SUBTOTAL(109,AHU_Schedules[(CFM)])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1">
        <f>SUBTOTAL(109,AHU_Schedules[GPM])</f>
        <v>0</v>
      </c>
      <c r="Z13" s="18"/>
      <c r="AA13" s="18"/>
      <c r="AB13" s="18"/>
      <c r="AC13" s="20"/>
      <c r="AD13" s="20"/>
      <c r="AE13" s="18"/>
      <c r="AF13" s="18"/>
      <c r="AG13" s="18"/>
      <c r="AH13" s="18"/>
      <c r="AI13" s="18"/>
      <c r="AJ13" s="18"/>
      <c r="AK13" s="29">
        <f>SUBTOTAL(109,AHU_Schedules[GPM33])</f>
        <v>0</v>
      </c>
      <c r="AL13" s="21">
        <f>SUBTOTAL(109,AHU_Schedules[(Tons)34])</f>
        <v>0</v>
      </c>
      <c r="AM13" s="18"/>
      <c r="AN13" s="22">
        <f>SUBTOTAL(109,AHU_Schedules[GPM MAX])</f>
        <v>0</v>
      </c>
      <c r="AO13" s="18"/>
      <c r="AP13" s="18"/>
      <c r="AQ13" s="18"/>
      <c r="AR13" s="22">
        <f>SUBTOTAL(109,AHU_Schedules[(MBH)])</f>
        <v>0</v>
      </c>
      <c r="AS13" s="18"/>
      <c r="AT13" s="18"/>
      <c r="AU13" s="21">
        <f>SUBTOTAL(109,AHU_Schedules[GPM41])</f>
        <v>0</v>
      </c>
      <c r="AV13" s="21"/>
      <c r="AW13" s="18"/>
      <c r="AX13" s="18"/>
      <c r="AY13" s="21">
        <f>SUBTOTAL(109,AHU_Schedules[(mbh)46])</f>
        <v>0</v>
      </c>
      <c r="AZ13" s="21"/>
      <c r="BA13" s="21"/>
      <c r="BB13" s="21">
        <f>SUBTOTAL(109,AHU_Schedules[(˚F db)46])</f>
        <v>0</v>
      </c>
    </row>
    <row r="14" spans="1:54" ht="13.8" thickTop="1"/>
    <row r="15" spans="1:54" ht="13.8">
      <c r="R15" s="13"/>
      <c r="S15" s="13"/>
      <c r="Y15" s="14"/>
      <c r="AD15" s="13"/>
      <c r="AE15" s="13"/>
      <c r="AH15" s="14"/>
      <c r="AK15" s="14"/>
      <c r="AL15" s="14"/>
      <c r="AU15" s="14"/>
      <c r="AV15" s="14"/>
    </row>
    <row r="16" spans="1:54" ht="13.8">
      <c r="R16" s="13"/>
      <c r="S16" s="13"/>
      <c r="Y16" s="14"/>
      <c r="AD16" s="13"/>
      <c r="AE16" s="13"/>
      <c r="AH16" s="14"/>
      <c r="AK16" s="14"/>
      <c r="AL16" s="14"/>
      <c r="AU16" s="14"/>
      <c r="AV16" s="14"/>
    </row>
    <row r="17" spans="1:54">
      <c r="B17" s="11"/>
    </row>
    <row r="20" spans="1:54">
      <c r="M20" s="14"/>
    </row>
    <row r="22" spans="1:54">
      <c r="F22" s="11" t="s">
        <v>684</v>
      </c>
    </row>
    <row r="23" spans="1:54">
      <c r="E23" s="86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15"/>
      <c r="B31" s="15"/>
    </row>
    <row r="32" spans="1:54">
      <c r="A32" s="15"/>
      <c r="B32" s="14"/>
      <c r="O32" s="11"/>
    </row>
    <row r="33" spans="1:15">
      <c r="A33" s="15"/>
    </row>
    <row r="34" spans="1:15">
      <c r="O34" s="11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3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zoomScale="70" zoomScaleNormal="70" workbookViewId="0">
      <selection activeCell="X26" sqref="X26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75" t="s">
        <v>761</v>
      </c>
      <c r="B4" s="376"/>
      <c r="C4" s="376"/>
      <c r="D4" s="376"/>
      <c r="E4" s="376"/>
      <c r="F4" s="376"/>
      <c r="G4" s="376"/>
      <c r="H4" s="375" t="s">
        <v>79</v>
      </c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 t="s">
        <v>259</v>
      </c>
      <c r="Y4" s="375"/>
      <c r="Z4" s="375"/>
      <c r="AA4" s="375"/>
    </row>
    <row r="5" spans="1:28" s="11" customFormat="1" ht="46.8">
      <c r="A5" s="64" t="s">
        <v>81</v>
      </c>
      <c r="B5" s="63" t="s">
        <v>82</v>
      </c>
      <c r="C5" s="64" t="s">
        <v>260</v>
      </c>
      <c r="D5" s="308" t="s">
        <v>745</v>
      </c>
      <c r="E5" s="64" t="s">
        <v>84</v>
      </c>
      <c r="F5" s="64" t="s">
        <v>85</v>
      </c>
      <c r="G5" s="65" t="s">
        <v>86</v>
      </c>
      <c r="H5" s="65" t="s">
        <v>22</v>
      </c>
      <c r="I5" s="64" t="s">
        <v>87</v>
      </c>
      <c r="J5" s="64" t="s">
        <v>25</v>
      </c>
      <c r="K5" s="64" t="s">
        <v>26</v>
      </c>
      <c r="L5" s="64" t="s">
        <v>27</v>
      </c>
      <c r="M5" s="64" t="s">
        <v>28</v>
      </c>
      <c r="N5" s="65" t="s">
        <v>261</v>
      </c>
      <c r="O5" s="66" t="s">
        <v>262</v>
      </c>
      <c r="P5" s="66" t="s">
        <v>263</v>
      </c>
      <c r="Q5" s="66" t="s">
        <v>264</v>
      </c>
      <c r="R5" s="66" t="s">
        <v>34</v>
      </c>
      <c r="S5" s="76" t="s">
        <v>752</v>
      </c>
      <c r="T5" s="76" t="s">
        <v>747</v>
      </c>
      <c r="U5" s="65" t="s">
        <v>37</v>
      </c>
      <c r="V5" s="65" t="s">
        <v>38</v>
      </c>
      <c r="W5" s="64" t="s">
        <v>39</v>
      </c>
      <c r="X5" s="66" t="s">
        <v>265</v>
      </c>
      <c r="Y5" s="66" t="s">
        <v>266</v>
      </c>
      <c r="Z5" s="64" t="s">
        <v>96</v>
      </c>
      <c r="AA5" s="67" t="s">
        <v>41</v>
      </c>
      <c r="AB5" s="68" t="s">
        <v>97</v>
      </c>
    </row>
    <row r="6" spans="1:28" ht="15.6">
      <c r="A6" s="97">
        <v>123</v>
      </c>
      <c r="B6" s="97" t="s">
        <v>748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>
        <v>200</v>
      </c>
      <c r="H6" s="97" t="s">
        <v>72</v>
      </c>
      <c r="I6" s="97" t="s">
        <v>104</v>
      </c>
      <c r="J6" s="99">
        <f>VLOOKUP(Ahu_Ashrae_sheet[[#This Row],[Occupancy Category]],Ashrae90.1Vent[#All],2,FALSE)</f>
        <v>0</v>
      </c>
      <c r="K6" s="99">
        <f>VLOOKUP(Ahu_Ashrae_sheet[[#This Row],[Occupancy Category]],Ashrae90.1Vent[#All],3,FALSE)</f>
        <v>0</v>
      </c>
      <c r="L6" s="99">
        <f>VLOOKUP(Ahu_Ashrae_sheet[[#This Row],[Occupancy Category]],Ashrae90.1Vent[#All],4,FALSE)</f>
        <v>0</v>
      </c>
      <c r="M6" s="99">
        <f>VLOOKUP(Ahu_Ashrae_sheet[[#This Row],[Occupancy Category]],Ashrae90.1Vent[#All],5,FALSE)</f>
        <v>2</v>
      </c>
      <c r="N6" s="99">
        <f>CEILING((L6/1000)*C6,1)</f>
        <v>0</v>
      </c>
      <c r="O6" s="100">
        <f>(Ahu_Ashrae_sheet[[#This Row],[RP
(CFM/PER PERSON)]]*Ahu_Ashrae_sheet[[#This Row],[Occupants]])+(Ahu_Ashrae_sheet[[#This Row],[RA
(CFM/FT²)]]*Ahu_Ashrae_sheet[[#This Row],[AREA 
(FT²)]])</f>
        <v>0</v>
      </c>
      <c r="P6" s="143">
        <v>0.8</v>
      </c>
      <c r="Q6" s="100">
        <f>O6/P6</f>
        <v>0</v>
      </c>
      <c r="R6" s="100">
        <f>Ahu_Ashrae_sheet[[#This Row],[Voz]]</f>
        <v>0</v>
      </c>
      <c r="S6" s="144">
        <v>50</v>
      </c>
      <c r="T6" s="100" t="str">
        <f>IF(Ahu_Ashrae_sheet[[#This Row],[Exhaust Category]] = "NOT APPLICABLE","NR","YES")</f>
        <v>YES</v>
      </c>
      <c r="U6" s="100">
        <f>IF(Ahu_Ashrae_sheet[[#This Row],[Exhaust Category]]="NOT APPLICABLE","NA",VLOOKUP(Ahu_Ashrae_sheet[[#This Row],[Exhaust Category]],ASHRAE_EA_Table[#All],2,FALSE))</f>
        <v>50</v>
      </c>
      <c r="V6" s="100">
        <f>IF(Ahu_Ashrae_sheet[[#This Row],[Exhaust Category]]="NOT APPLICABLE","NA",VLOOKUP(Ahu_Ashrae_sheet[[#This Row],[Exhaust Category]],ASHRAE_EA_Table[#All],3,FALSE))</f>
        <v>0</v>
      </c>
      <c r="W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4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4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4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0">
        <f ca="1">Ahu_Ashrae_sheet[[#This Row],[DESIGN SA(CFM)]]-Ahu_Ashrae_sheet[[#This Row],[DESIGN RA(CFM)]]-Ahu_Ashrae_sheet[[#This Row],[DESIGN EA(CFM)]]</f>
        <v>-50</v>
      </c>
      <c r="AB6" s="69">
        <f ca="1">Ahu_Ashrae_sheet[[#This Row],[OUTSIDE AIRFLOW (CFM) (Vot)]]/Ahu_Ashrae_sheet[[#This Row],[DESIGN SA(CFM)]]</f>
        <v>0</v>
      </c>
    </row>
    <row r="7" spans="1:28" ht="15.6">
      <c r="A7" s="97">
        <v>344</v>
      </c>
      <c r="B7" s="97" t="s">
        <v>759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>
        <v>280</v>
      </c>
      <c r="H7" s="97" t="s">
        <v>48</v>
      </c>
      <c r="I7" s="97" t="s">
        <v>267</v>
      </c>
      <c r="J7" s="99">
        <f>VLOOKUP(Ahu_Ashrae_sheet[[#This Row],[Occupancy Category]],Ashrae90.1Vent[#All],2,FALSE)</f>
        <v>5</v>
      </c>
      <c r="K7" s="99">
        <f>VLOOKUP(Ahu_Ashrae_sheet[[#This Row],[Occupancy Category]],Ashrae90.1Vent[#All],3,FALSE)</f>
        <v>0.12</v>
      </c>
      <c r="L7" s="99">
        <f>VLOOKUP(Ahu_Ashrae_sheet[[#This Row],[Occupancy Category]],Ashrae90.1Vent[#All],4,FALSE)</f>
        <v>10</v>
      </c>
      <c r="M7" s="99">
        <f>VLOOKUP(Ahu_Ashrae_sheet[[#This Row],[Occupancy Category]],Ashrae90.1Vent[#All],5,FALSE)</f>
        <v>1</v>
      </c>
      <c r="N7" s="99">
        <f>CEILING((L7/1000)*C7,1)</f>
        <v>10</v>
      </c>
      <c r="O7" s="100">
        <f>(Ahu_Ashrae_sheet[[#This Row],[RP
(CFM/PER PERSON)]]*Ahu_Ashrae_sheet[[#This Row],[Occupants]])+(Ahu_Ashrae_sheet[[#This Row],[RA
(CFM/FT²)]]*Ahu_Ashrae_sheet[[#This Row],[AREA 
(FT²)]])</f>
        <v>170</v>
      </c>
      <c r="P7" s="143">
        <v>0.8</v>
      </c>
      <c r="Q7" s="100">
        <f>O7/P7</f>
        <v>212.5</v>
      </c>
      <c r="R7" s="100">
        <f>Ahu_Ashrae_sheet[[#This Row],[Voz]]</f>
        <v>212.5</v>
      </c>
      <c r="S7" s="144">
        <v>0</v>
      </c>
      <c r="T7" s="100" t="str">
        <f>IF(Ahu_Ashrae_sheet[[#This Row],[Exhaust Category]] = "NOT APPLICABLE","NR","YES")</f>
        <v>NR</v>
      </c>
      <c r="U7" s="100" t="str">
        <f>IF(Ahu_Ashrae_sheet[[#This Row],[Exhaust Category]]="NOT APPLICABLE","NA",VLOOKUP(Ahu_Ashrae_sheet[[#This Row],[Exhaust Category]],ASHRAE_EA_Table[#All],2,FALSE))</f>
        <v>NA</v>
      </c>
      <c r="V7" s="100" t="str">
        <f>IF(Ahu_Ashrae_sheet[[#This Row],[Exhaust Category]]="NOT APPLICABLE","NA",VLOOKUP(Ahu_Ashrae_sheet[[#This Row],[Exhaust Category]],ASHRAE_EA_Table[#All],3,FALSE))</f>
        <v>NA</v>
      </c>
      <c r="W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4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4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4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0">
        <f ca="1">Ahu_Ashrae_sheet[[#This Row],[DESIGN SA(CFM)]]-Ahu_Ashrae_sheet[[#This Row],[DESIGN RA(CFM)]]-Ahu_Ashrae_sheet[[#This Row],[DESIGN EA(CFM)]]</f>
        <v>50</v>
      </c>
      <c r="AB7" s="69">
        <f ca="1">Ahu_Ashrae_sheet[[#This Row],[OUTSIDE AIRFLOW (CFM) (Vot)]]/Ahu_Ashrae_sheet[[#This Row],[DESIGN SA(CFM)]]</f>
        <v>0.21249999999999999</v>
      </c>
    </row>
    <row r="8" spans="1:28" ht="15.6">
      <c r="A8" s="97">
        <v>566</v>
      </c>
      <c r="B8" s="97" t="s">
        <v>760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>
        <v>150</v>
      </c>
      <c r="H8" s="97" t="s">
        <v>48</v>
      </c>
      <c r="I8" s="97" t="s">
        <v>268</v>
      </c>
      <c r="J8" s="99">
        <f>VLOOKUP(Ahu_Ashrae_sheet[[#This Row],[Occupancy Category]],Ashrae90.1Vent[#All],2,FALSE)</f>
        <v>10</v>
      </c>
      <c r="K8" s="99">
        <f>VLOOKUP(Ahu_Ashrae_sheet[[#This Row],[Occupancy Category]],Ashrae90.1Vent[#All],3,FALSE)</f>
        <v>0.18</v>
      </c>
      <c r="L8" s="99">
        <f>VLOOKUP(Ahu_Ashrae_sheet[[#This Row],[Occupancy Category]],Ashrae90.1Vent[#All],4,FALSE)</f>
        <v>20</v>
      </c>
      <c r="M8" s="99">
        <f>VLOOKUP(Ahu_Ashrae_sheet[[#This Row],[Occupancy Category]],Ashrae90.1Vent[#All],5,FALSE)</f>
        <v>3</v>
      </c>
      <c r="N8" s="99">
        <f>CEILING((L8/1000)*C8,1)</f>
        <v>20</v>
      </c>
      <c r="O8" s="100">
        <f>(Ahu_Ashrae_sheet[[#This Row],[RP
(CFM/PER PERSON)]]*Ahu_Ashrae_sheet[[#This Row],[Occupants]])+(Ahu_Ashrae_sheet[[#This Row],[RA
(CFM/FT²)]]*Ahu_Ashrae_sheet[[#This Row],[AREA 
(FT²)]])</f>
        <v>380</v>
      </c>
      <c r="P8" s="143">
        <v>0.8</v>
      </c>
      <c r="Q8" s="100">
        <f>O8/P8</f>
        <v>475</v>
      </c>
      <c r="R8" s="100">
        <f>Ahu_Ashrae_sheet[[#This Row],[Voz]]</f>
        <v>475</v>
      </c>
      <c r="S8" s="144">
        <v>0</v>
      </c>
      <c r="T8" s="100" t="str">
        <f>IF(Ahu_Ashrae_sheet[[#This Row],[Exhaust Category]] = "NOT APPLICABLE","NR","YES")</f>
        <v>NR</v>
      </c>
      <c r="U8" s="100" t="str">
        <f>IF(Ahu_Ashrae_sheet[[#This Row],[Exhaust Category]]="NOT APPLICABLE","NA",VLOOKUP(Ahu_Ashrae_sheet[[#This Row],[Exhaust Category]],ASHRAE_EA_Table[#All],2,FALSE))</f>
        <v>NA</v>
      </c>
      <c r="V8" s="100" t="str">
        <f>IF(Ahu_Ashrae_sheet[[#This Row],[Exhaust Category]]="NOT APPLICABLE","NA",VLOOKUP(Ahu_Ashrae_sheet[[#This Row],[Exhaust Category]],ASHRAE_EA_Table[#All],3,FALSE))</f>
        <v>NA</v>
      </c>
      <c r="W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4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4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4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0">
        <f ca="1">Ahu_Ashrae_sheet[[#This Row],[DESIGN SA(CFM)]]-Ahu_Ashrae_sheet[[#This Row],[DESIGN RA(CFM)]]-Ahu_Ashrae_sheet[[#This Row],[DESIGN EA(CFM)]]</f>
        <v>50</v>
      </c>
      <c r="AB8" s="69">
        <f ca="1">Ahu_Ashrae_sheet[[#This Row],[OUTSIDE AIRFLOW (CFM) (Vot)]]/Ahu_Ashrae_sheet[[#This Row],[DESIGN SA(CFM)]]</f>
        <v>0.47499999999999998</v>
      </c>
    </row>
    <row r="9" spans="1:28" ht="15.6">
      <c r="A9" s="292"/>
      <c r="B9" s="293">
        <f>SUBTOTAL(103,Ahu_Ashrae_sheet[Room])</f>
        <v>3</v>
      </c>
      <c r="C9" s="294">
        <f>SUBTOTAL(109,Ahu_Ashrae_sheet[AREA 
(FT²)])</f>
        <v>2250</v>
      </c>
      <c r="D9" s="294"/>
      <c r="E9" s="295"/>
      <c r="F9" s="296"/>
      <c r="G9" s="297">
        <f>SUBTOTAL(109,Ahu_Ashrae_sheet[LOAD (CFM)])</f>
        <v>630</v>
      </c>
      <c r="H9" s="292"/>
      <c r="I9" s="292"/>
      <c r="J9" s="298"/>
      <c r="K9" s="298"/>
      <c r="L9" s="298"/>
      <c r="M9" s="298"/>
      <c r="N9" s="299">
        <f>SUBTOTAL(109,Ahu_Ashrae_sheet[Occupants])</f>
        <v>30</v>
      </c>
      <c r="O9" s="298"/>
      <c r="P9" s="298"/>
      <c r="Q9" s="298"/>
      <c r="R9" s="300">
        <f>SUBTOTAL(109,Ahu_Ashrae_sheet[OUTSIDE AIRFLOW (CFM) (Vot)])</f>
        <v>687.5</v>
      </c>
      <c r="S9" s="300"/>
      <c r="T9" s="300"/>
      <c r="U9" s="298"/>
      <c r="V9" s="298"/>
      <c r="W9" s="298"/>
      <c r="X9" s="300">
        <f ca="1">SUBTOTAL(109,Ahu_Ashrae_sheet[DESIGN SA(CFM)])</f>
        <v>2200</v>
      </c>
      <c r="Y9" s="300">
        <f ca="1">SUBTOTAL(109,Ahu_Ashrae_sheet[DESIGN RA(CFM)])</f>
        <v>1900</v>
      </c>
      <c r="Z9" s="300">
        <f ca="1">SUBTOTAL(109,Ahu_Ashrae_sheet[DESIGN EA(CFM)])</f>
        <v>250</v>
      </c>
      <c r="AA9" s="298"/>
      <c r="AB9" s="75"/>
    </row>
    <row r="20" spans="22:22">
      <c r="V20" s="23"/>
    </row>
  </sheetData>
  <mergeCells count="3">
    <mergeCell ref="A4:G4"/>
    <mergeCell ref="X4:AA4"/>
    <mergeCell ref="H4:W4"/>
  </mergeCells>
  <phoneticPr fontId="10" type="noConversion"/>
  <conditionalFormatting sqref="X6:X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X6:X9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1" sqref="H21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9.5546875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0" customWidth="1"/>
    <col min="18" max="18" width="7.88671875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70"/>
      <c r="B8" s="367" t="s">
        <v>181</v>
      </c>
      <c r="C8" s="367"/>
      <c r="D8" s="367"/>
      <c r="E8" s="367"/>
      <c r="F8" s="367"/>
      <c r="G8" s="367"/>
      <c r="H8" s="367"/>
      <c r="I8" s="367"/>
      <c r="J8" s="367"/>
      <c r="K8" s="367" t="s">
        <v>715</v>
      </c>
      <c r="L8" s="367"/>
      <c r="M8" s="367"/>
      <c r="N8" s="367"/>
      <c r="O8" s="367"/>
      <c r="P8" s="367"/>
      <c r="Q8" s="367"/>
      <c r="R8" s="367"/>
      <c r="S8" s="367"/>
      <c r="T8" s="367"/>
      <c r="U8" s="367"/>
      <c r="V8" s="367"/>
      <c r="W8" s="367" t="s">
        <v>716</v>
      </c>
      <c r="X8" s="367"/>
      <c r="Y8" s="367"/>
      <c r="Z8" s="367"/>
      <c r="AA8" s="367"/>
      <c r="AB8" s="367"/>
      <c r="AC8" s="367"/>
    </row>
    <row r="9" spans="1:29" s="11" customFormat="1" ht="32.25" customHeight="1">
      <c r="A9" s="370"/>
      <c r="B9" s="368" t="s">
        <v>714</v>
      </c>
      <c r="C9" s="368"/>
      <c r="D9" s="368"/>
      <c r="E9" s="368"/>
      <c r="F9" s="368"/>
      <c r="G9" s="368"/>
      <c r="H9" s="368"/>
      <c r="I9" s="368"/>
      <c r="J9" s="370" t="s">
        <v>186</v>
      </c>
      <c r="K9" s="368" t="s">
        <v>187</v>
      </c>
      <c r="L9" s="368"/>
      <c r="M9" s="368"/>
      <c r="N9" s="368"/>
      <c r="O9" s="368"/>
      <c r="P9" s="368"/>
      <c r="Q9" s="369" t="s">
        <v>717</v>
      </c>
      <c r="R9" s="369"/>
      <c r="S9" s="371" t="s">
        <v>188</v>
      </c>
      <c r="T9" s="370" t="s">
        <v>189</v>
      </c>
      <c r="U9" s="370"/>
      <c r="V9" s="370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70"/>
      <c r="B10" s="126" t="s">
        <v>196</v>
      </c>
      <c r="C10" s="373" t="s">
        <v>197</v>
      </c>
      <c r="D10" s="373"/>
      <c r="E10" s="374"/>
      <c r="F10" s="372" t="s">
        <v>722</v>
      </c>
      <c r="G10" s="373"/>
      <c r="H10" s="374"/>
      <c r="I10" s="126" t="s">
        <v>200</v>
      </c>
      <c r="J10" s="370"/>
      <c r="K10" s="370" t="s">
        <v>201</v>
      </c>
      <c r="L10" s="370"/>
      <c r="M10" s="370"/>
      <c r="N10" s="370" t="s">
        <v>202</v>
      </c>
      <c r="O10" s="370"/>
      <c r="P10" s="370"/>
      <c r="Q10" s="126" t="s">
        <v>203</v>
      </c>
      <c r="R10" s="126" t="s">
        <v>204</v>
      </c>
      <c r="S10" s="371"/>
      <c r="T10" s="370"/>
      <c r="U10" s="370"/>
      <c r="V10" s="370"/>
      <c r="W10" s="126" t="s">
        <v>207</v>
      </c>
      <c r="X10" s="126" t="s">
        <v>201</v>
      </c>
      <c r="Y10" s="126" t="s">
        <v>208</v>
      </c>
      <c r="Z10" s="126" t="s">
        <v>203</v>
      </c>
      <c r="AA10" s="129" t="s">
        <v>55</v>
      </c>
      <c r="AB10" s="129" t="s">
        <v>205</v>
      </c>
      <c r="AC10" s="126" t="s">
        <v>1</v>
      </c>
    </row>
    <row r="11" spans="1:29" s="338" customFormat="1" ht="28.8">
      <c r="A11" s="130" t="s">
        <v>209</v>
      </c>
      <c r="B11" s="335" t="s">
        <v>768</v>
      </c>
      <c r="C11" s="335" t="s">
        <v>769</v>
      </c>
      <c r="D11" s="335" t="s">
        <v>770</v>
      </c>
      <c r="E11" s="335" t="s">
        <v>771</v>
      </c>
      <c r="F11" s="335" t="s">
        <v>772</v>
      </c>
      <c r="G11" s="336" t="s">
        <v>773</v>
      </c>
      <c r="H11" s="336" t="s">
        <v>774</v>
      </c>
      <c r="I11" s="336" t="s">
        <v>775</v>
      </c>
      <c r="J11" s="335" t="s">
        <v>776</v>
      </c>
      <c r="K11" s="336" t="s">
        <v>777</v>
      </c>
      <c r="L11" s="336" t="s">
        <v>778</v>
      </c>
      <c r="M11" s="336" t="s">
        <v>779</v>
      </c>
      <c r="N11" s="336" t="s">
        <v>780</v>
      </c>
      <c r="O11" s="336" t="s">
        <v>781</v>
      </c>
      <c r="P11" s="336" t="s">
        <v>782</v>
      </c>
      <c r="Q11" s="335" t="s">
        <v>783</v>
      </c>
      <c r="R11" s="335" t="s">
        <v>686</v>
      </c>
      <c r="S11" s="339" t="s">
        <v>784</v>
      </c>
      <c r="T11" s="339" t="s">
        <v>55</v>
      </c>
      <c r="U11" s="339" t="s">
        <v>205</v>
      </c>
      <c r="V11" s="337" t="s">
        <v>1</v>
      </c>
      <c r="W11" s="339" t="s">
        <v>785</v>
      </c>
      <c r="X11" s="336" t="s">
        <v>786</v>
      </c>
      <c r="Y11" s="336" t="s">
        <v>787</v>
      </c>
      <c r="Z11" s="335" t="s">
        <v>788</v>
      </c>
      <c r="AA11" s="339" t="s">
        <v>789</v>
      </c>
      <c r="AB11" s="339" t="s">
        <v>790</v>
      </c>
      <c r="AC11" s="336" t="s">
        <v>791</v>
      </c>
    </row>
    <row r="12" spans="1:29" s="11" customFormat="1" ht="13.8">
      <c r="A12" s="135"/>
      <c r="B12" s="136"/>
      <c r="C12" s="136"/>
      <c r="D12" s="137">
        <v>78</v>
      </c>
      <c r="E12" s="137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20</v>
      </c>
      <c r="J12" s="136">
        <f>C12+F12-B12</f>
        <v>0</v>
      </c>
      <c r="K12" s="128" t="e" cm="1">
        <f t="array" aca="1" ref="K12" ca="1">MixedAirTemp(FCU_Schedules[[#This Row],[Outside Air CFM]],FCU_Schedules[[#This Row],[Outside Air DB]],(FCU_Schedules[[#This Row],[Return CFM]]-FCU_Schedules[[#This Row],[Exfiltration CFM]]),FCU_Schedules[[#This Row],[Return Drybulb]])</f>
        <v>#VALUE!</v>
      </c>
      <c r="L12" s="128" t="e" cm="1">
        <f t="array" aca="1" ref="L12" ca="1">MixedAirTemp(FCU_Schedules[[#This Row],[Outside Air CFM]],FCU_Schedules[[#This Row],[Outside Air WB]],(FCU_Schedules[[#This Row],[Return CFM]]-FCU_Schedules[[#This Row],[Exfiltration CFM]]),FCU_Schedules[[#This Row],[Return Wetbulb]])</f>
        <v>#VALUE!</v>
      </c>
      <c r="M12" s="128" t="e" cm="1">
        <f t="array" aca="1" ref="M12" ca="1">GetMoistAirEnthalpy(FCU_Schedules[[#This Row],[Mixed air DB]],(GetHumRatioFromTWetBulb(FCU_Schedules[[#This Row],[Mixed air DB]],FCU_Schedules[[#This Row],[Mixed air WB]],GetStandardAtmPressure(INPUT_OUTPUTS!$G$6))))</f>
        <v>#N/A</v>
      </c>
      <c r="N12" s="138">
        <v>55</v>
      </c>
      <c r="O12" s="138">
        <v>50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20.87643265446345</v>
      </c>
      <c r="Q12" s="136" t="e">
        <f ca="1">B12*1.085*(K12-N12)</f>
        <v>#VALUE!</v>
      </c>
      <c r="R12" s="136" t="e">
        <f ca="1">4.5*B12*(M12-P12)</f>
        <v>#N/A</v>
      </c>
      <c r="S12" s="288" t="e">
        <f ca="1">IF(R12&lt;Q12,"INVALID POINT",R12/12000)</f>
        <v>#N/A</v>
      </c>
      <c r="T12" s="129">
        <f>INPUT_OUTPUTS!$C$14</f>
        <v>42</v>
      </c>
      <c r="U12" s="129">
        <f>INPUT_OUTPUTS!$C$15</f>
        <v>56</v>
      </c>
      <c r="V12" s="139" t="e">
        <f ca="1">R12/(500*(U12-T12))</f>
        <v>#N/A</v>
      </c>
      <c r="W12" s="128">
        <f>FCU_Schedules[[#This Row],[Supply CFM]]</f>
        <v>0</v>
      </c>
      <c r="X12" s="128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#DIV/0!</v>
      </c>
      <c r="Y12" s="138">
        <v>85</v>
      </c>
      <c r="Z12" s="142" t="e">
        <f>(FCU_Schedules[[#This Row],[Heating CFM]]*1.08*(FCU_Schedules[[#This Row],[Heating LAT]]-FCU_Schedules[[#This Row],[Mixed Air Heating ]]))/1000</f>
        <v>#DIV/0!</v>
      </c>
      <c r="AA12" s="142">
        <f>INPUT_OUTPUTS!$C$16</f>
        <v>140</v>
      </c>
      <c r="AB12" s="142">
        <f>INPUT_OUTPUTS!$C$17</f>
        <v>110</v>
      </c>
      <c r="AC12" s="128" t="e">
        <f>(FCU_Schedules[[#This Row],[Heating Sensible Load]]*1000)/(500*(FCU_Schedules[[#This Row],[HWEWT]]-FCU_Schedules[[#This Row],[HWLWT]]))</f>
        <v>#DIV/0!</v>
      </c>
    </row>
    <row r="13" spans="1:29" ht="15.6" thickBot="1">
      <c r="A13" s="18" t="s">
        <v>77</v>
      </c>
      <c r="B13" s="19">
        <f>SUBTOTAL(109,FCU_Schedules[Supply CFM])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 t="e">
        <f ca="1">SUBTOTAL(109,FCU_Schedules[GPM])</f>
        <v>#N/A</v>
      </c>
      <c r="W13" s="21"/>
      <c r="X13" s="18"/>
      <c r="Y13" s="18"/>
      <c r="Z13" s="21" t="e">
        <f>SUBTOTAL(109,FCU_Schedules[Heating Sensible Load])</f>
        <v>#DIV/0!</v>
      </c>
      <c r="AA13" s="21"/>
      <c r="AB13" s="21"/>
      <c r="AC13" s="21" t="e">
        <f>SUBTOTAL(109,FCU_Schedules[HW GPM])</f>
        <v>#DIV/0!</v>
      </c>
    </row>
    <row r="14" spans="1:29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684</v>
      </c>
    </row>
    <row r="23" spans="1:29">
      <c r="E23" s="86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A8:A10"/>
    <mergeCell ref="B8:J8"/>
    <mergeCell ref="K8:V8"/>
    <mergeCell ref="C10:E10"/>
    <mergeCell ref="F10:H10"/>
    <mergeCell ref="K10:M10"/>
    <mergeCell ref="N10:P10"/>
    <mergeCell ref="W8:AC8"/>
    <mergeCell ref="B9:I9"/>
    <mergeCell ref="J9:J10"/>
    <mergeCell ref="K9:P9"/>
    <mergeCell ref="Q9:R9"/>
    <mergeCell ref="S9:S10"/>
    <mergeCell ref="T9:V10"/>
  </mergeCells>
  <dataValidations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730</v>
      </c>
      <c r="B3" s="51" t="s">
        <v>731</v>
      </c>
      <c r="C3" s="51" t="s">
        <v>740</v>
      </c>
      <c r="D3" s="51" t="s">
        <v>1</v>
      </c>
      <c r="E3" s="51" t="s">
        <v>150</v>
      </c>
      <c r="F3" s="51" t="s">
        <v>152</v>
      </c>
      <c r="G3" s="51" t="s">
        <v>741</v>
      </c>
      <c r="H3" s="51" t="s">
        <v>734</v>
      </c>
      <c r="I3" s="51" t="s">
        <v>733</v>
      </c>
      <c r="J3" s="51" t="s">
        <v>732</v>
      </c>
    </row>
    <row r="4" spans="1:10" ht="13.8">
      <c r="A4" s="302"/>
      <c r="B4" s="301"/>
      <c r="C4" s="301"/>
      <c r="D4" s="301"/>
      <c r="E4" s="301">
        <f>INPUT_OUTPUTS!$C$14</f>
        <v>42</v>
      </c>
      <c r="F4" s="301">
        <f>INPUT_OUTPUTS!$C$15</f>
        <v>56</v>
      </c>
      <c r="G4" s="301">
        <f>Table25[[#This Row],[CHILLER CAPACITY (TONS)]]*1.25*12000</f>
        <v>0</v>
      </c>
      <c r="H4" s="301"/>
      <c r="I4" s="301"/>
      <c r="J4" s="301"/>
    </row>
    <row r="5" spans="1:10" ht="21" customHeight="1"/>
    <row r="10" spans="1:10">
      <c r="A10" s="51" t="s">
        <v>735</v>
      </c>
      <c r="B10" s="51" t="s">
        <v>731</v>
      </c>
      <c r="C10" s="51" t="s">
        <v>739</v>
      </c>
      <c r="D10" s="51" t="s">
        <v>1</v>
      </c>
      <c r="E10" s="51" t="s">
        <v>153</v>
      </c>
      <c r="F10" s="51" t="s">
        <v>154</v>
      </c>
      <c r="G10" s="51" t="s">
        <v>736</v>
      </c>
      <c r="H10" s="51" t="s">
        <v>737</v>
      </c>
      <c r="I10" s="51" t="s">
        <v>738</v>
      </c>
    </row>
    <row r="11" spans="1:10" ht="13.8">
      <c r="A11" s="302"/>
      <c r="B11" s="301"/>
      <c r="C11" s="301"/>
      <c r="D11" s="301"/>
      <c r="E11" s="301">
        <f>INPUT_OUTPUTS!$C$16</f>
        <v>140</v>
      </c>
      <c r="F11" s="301">
        <f>INPUT_OUTPUTS!$C$17</f>
        <v>110</v>
      </c>
      <c r="G11" s="301"/>
      <c r="H11" s="301"/>
      <c r="I11" s="301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B3:M24"/>
  <sheetViews>
    <sheetView showGridLines="0" showRowColHeaders="0" workbookViewId="0">
      <selection activeCell="F20" sqref="F20"/>
    </sheetView>
  </sheetViews>
  <sheetFormatPr defaultColWidth="9.109375" defaultRowHeight="13.2"/>
  <cols>
    <col min="1" max="1" width="9.109375" style="85"/>
    <col min="2" max="2" width="17" style="85" bestFit="1" customWidth="1"/>
    <col min="3" max="3" width="17.88671875" style="85" customWidth="1"/>
    <col min="4" max="4" width="13.5546875" style="85" customWidth="1"/>
    <col min="5" max="5" width="12.44140625" style="85" bestFit="1" customWidth="1"/>
    <col min="6" max="7" width="16.5546875" style="85" bestFit="1" customWidth="1"/>
    <col min="8" max="8" width="20.109375" style="85" bestFit="1" customWidth="1"/>
    <col min="9" max="9" width="16.5546875" style="85" customWidth="1"/>
    <col min="10" max="12" width="16.5546875" style="85" hidden="1" customWidth="1"/>
    <col min="13" max="13" width="12.5546875" style="85" customWidth="1"/>
    <col min="14" max="16384" width="9.109375" style="85"/>
  </cols>
  <sheetData>
    <row r="3" spans="2:13" ht="26.4">
      <c r="B3" s="286" t="s">
        <v>713</v>
      </c>
      <c r="C3" s="284" t="s">
        <v>712</v>
      </c>
      <c r="D3" s="284" t="s">
        <v>711</v>
      </c>
      <c r="E3" s="284" t="s">
        <v>710</v>
      </c>
      <c r="F3" s="285" t="s">
        <v>709</v>
      </c>
      <c r="G3" s="284" t="s">
        <v>720</v>
      </c>
      <c r="H3" s="284" t="s">
        <v>721</v>
      </c>
      <c r="I3" s="284" t="s">
        <v>708</v>
      </c>
      <c r="J3" s="284" t="s">
        <v>707</v>
      </c>
    </row>
    <row r="4" spans="2:13" ht="13.8">
      <c r="B4" s="276" t="s">
        <v>706</v>
      </c>
      <c r="C4" s="276" t="s">
        <v>705</v>
      </c>
      <c r="D4" s="277">
        <v>101</v>
      </c>
      <c r="E4" s="276">
        <v>500</v>
      </c>
      <c r="F4" s="276">
        <v>10</v>
      </c>
      <c r="G4" s="276">
        <v>3500</v>
      </c>
      <c r="H4" s="287"/>
      <c r="I4" s="283">
        <f>(Heat_Generating_Equipment[[#Totals],[Total 
BTUs]]*0.29307107)/Table16[[#This Row],[Area
(ft2)]]</f>
        <v>104.4007072661</v>
      </c>
      <c r="J4" s="282">
        <f>Table16[[#This Row],[Envelope Load 
(BTU/HR)]]+Heat_Generating_Equipment[[#Totals],[Total 
BTUs]]</f>
        <v>181615</v>
      </c>
    </row>
    <row r="6" spans="2:13" ht="22.8">
      <c r="B6" s="377" t="s">
        <v>704</v>
      </c>
      <c r="C6" s="377"/>
      <c r="D6" s="377"/>
      <c r="E6" s="377"/>
      <c r="F6" s="377"/>
      <c r="G6" s="377"/>
      <c r="H6" s="377"/>
      <c r="I6" s="377"/>
      <c r="J6" s="377"/>
      <c r="K6" s="377"/>
      <c r="L6" s="377"/>
      <c r="M6" s="377"/>
    </row>
    <row r="7" spans="2:13">
      <c r="B7" s="281"/>
      <c r="C7" s="378" t="s">
        <v>703</v>
      </c>
      <c r="D7" s="378"/>
      <c r="E7" s="378" t="s">
        <v>689</v>
      </c>
      <c r="F7" s="378"/>
      <c r="G7" s="378" t="s">
        <v>702</v>
      </c>
      <c r="H7" s="378"/>
      <c r="I7" s="378"/>
      <c r="J7" s="281"/>
      <c r="K7" s="281"/>
      <c r="L7" s="281"/>
      <c r="M7" s="281"/>
    </row>
    <row r="8" spans="2:13" ht="39.6">
      <c r="B8" s="272" t="s">
        <v>701</v>
      </c>
      <c r="C8" s="280" t="s">
        <v>700</v>
      </c>
      <c r="D8" s="280" t="s">
        <v>699</v>
      </c>
      <c r="E8" s="280" t="s">
        <v>698</v>
      </c>
      <c r="F8" s="280" t="s">
        <v>697</v>
      </c>
      <c r="G8" s="280" t="s">
        <v>696</v>
      </c>
      <c r="H8" s="280" t="s">
        <v>695</v>
      </c>
      <c r="I8" s="280" t="s">
        <v>694</v>
      </c>
      <c r="J8" s="280" t="s">
        <v>693</v>
      </c>
      <c r="K8" s="280" t="s">
        <v>692</v>
      </c>
      <c r="L8" s="280" t="s">
        <v>691</v>
      </c>
      <c r="M8" s="280" t="s">
        <v>690</v>
      </c>
    </row>
    <row r="9" spans="2:13" ht="13.8">
      <c r="B9" s="276" t="s">
        <v>689</v>
      </c>
      <c r="C9" s="277">
        <v>0</v>
      </c>
      <c r="D9" s="276">
        <v>0</v>
      </c>
      <c r="E9" s="276">
        <v>145</v>
      </c>
      <c r="F9" s="279">
        <v>0.98</v>
      </c>
      <c r="G9" s="276">
        <v>0</v>
      </c>
      <c r="H9" s="277">
        <v>0</v>
      </c>
      <c r="I9" s="276">
        <v>0</v>
      </c>
      <c r="J9" s="274">
        <f t="shared" ref="J9:J23" si="0">E9*(1-F9)*3412.14</f>
        <v>9895.2060000000092</v>
      </c>
      <c r="K9" s="275">
        <f t="shared" ref="K9:K23" si="1">D9*3.41</f>
        <v>0</v>
      </c>
      <c r="L9" s="274">
        <f>Heat_Generating_Equipment[[#This Row],[Server Load 
(Watts)]]*Heat_Generating_Equipment[[#This Row],[Server Diversity]]*3.41*Heat_Generating_Equipment[[#This Row],[Number of Servers]]</f>
        <v>0</v>
      </c>
      <c r="M9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9895</v>
      </c>
    </row>
    <row r="10" spans="2:13" ht="13.8">
      <c r="B10" s="276" t="s">
        <v>688</v>
      </c>
      <c r="C10" s="276">
        <v>25000</v>
      </c>
      <c r="D10" s="276">
        <v>0</v>
      </c>
      <c r="E10" s="276">
        <v>0</v>
      </c>
      <c r="F10" s="278">
        <v>0</v>
      </c>
      <c r="G10" s="276">
        <v>0</v>
      </c>
      <c r="H10" s="277">
        <v>0</v>
      </c>
      <c r="I10" s="276">
        <v>0</v>
      </c>
      <c r="J10" s="274">
        <f t="shared" si="0"/>
        <v>0</v>
      </c>
      <c r="K10" s="275">
        <f t="shared" si="1"/>
        <v>0</v>
      </c>
      <c r="L10" s="274">
        <f>Heat_Generating_Equipment[[#This Row],[Server Load 
(Watts)]]*Heat_Generating_Equipment[[#This Row],[Server Diversity]]*3.41*Heat_Generating_Equipment[[#This Row],[Number of Servers]]</f>
        <v>0</v>
      </c>
      <c r="M10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25000</v>
      </c>
    </row>
    <row r="11" spans="2:13" ht="13.8">
      <c r="B11" s="276" t="s">
        <v>687</v>
      </c>
      <c r="C11" s="276">
        <v>0</v>
      </c>
      <c r="D11" s="276">
        <v>0</v>
      </c>
      <c r="E11" s="276">
        <v>0</v>
      </c>
      <c r="F11" s="278">
        <v>0</v>
      </c>
      <c r="G11" s="276">
        <v>12000</v>
      </c>
      <c r="H11" s="277">
        <v>5</v>
      </c>
      <c r="I11" s="276">
        <v>0.7</v>
      </c>
      <c r="J11" s="274">
        <f t="shared" si="0"/>
        <v>0</v>
      </c>
      <c r="K11" s="275">
        <f t="shared" si="1"/>
        <v>0</v>
      </c>
      <c r="L11" s="274">
        <f>Heat_Generating_Equipment[[#This Row],[Server Load 
(Watts)]]*Heat_Generating_Equipment[[#This Row],[Server Diversity]]*3.41*Heat_Generating_Equipment[[#This Row],[Number of Servers]]</f>
        <v>143220</v>
      </c>
      <c r="M11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143220</v>
      </c>
    </row>
    <row r="12" spans="2:13" ht="13.8">
      <c r="B12" s="276"/>
      <c r="C12" s="276"/>
      <c r="D12" s="276"/>
      <c r="E12" s="276"/>
      <c r="F12" s="278"/>
      <c r="G12" s="276"/>
      <c r="H12" s="277"/>
      <c r="I12" s="276"/>
      <c r="J12" s="277">
        <f>E12*(1-F12)*3412.14</f>
        <v>0</v>
      </c>
      <c r="K12" s="332">
        <f>D12*3.41</f>
        <v>0</v>
      </c>
      <c r="L12" s="273">
        <f>Heat_Generating_Equipment[[#This Row],[Server Load 
(Watts)]]*Heat_Generating_Equipment[[#This Row],[Server Diversity]]*3.41*Heat_Generating_Equipment[[#This Row],[Number of Servers]]</f>
        <v>0</v>
      </c>
      <c r="M12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3" spans="2:13" ht="13.8">
      <c r="B13" s="276"/>
      <c r="C13" s="276"/>
      <c r="D13" s="276"/>
      <c r="E13" s="276"/>
      <c r="F13" s="278"/>
      <c r="G13" s="276"/>
      <c r="H13" s="277"/>
      <c r="I13" s="276"/>
      <c r="J13" s="274">
        <f t="shared" si="0"/>
        <v>0</v>
      </c>
      <c r="K13" s="275">
        <f t="shared" si="1"/>
        <v>0</v>
      </c>
      <c r="L13" s="274">
        <f>Heat_Generating_Equipment[[#This Row],[Server Load 
(Watts)]]*Heat_Generating_Equipment[[#This Row],[Server Diversity]]*3.41*Heat_Generating_Equipment[[#This Row],[Number of Servers]]</f>
        <v>0</v>
      </c>
      <c r="M13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4" spans="2:13" ht="13.8">
      <c r="B14" s="276"/>
      <c r="C14" s="276"/>
      <c r="D14" s="276"/>
      <c r="E14" s="276"/>
      <c r="F14" s="278"/>
      <c r="G14" s="276"/>
      <c r="H14" s="277"/>
      <c r="I14" s="276"/>
      <c r="J14" s="274">
        <f t="shared" si="0"/>
        <v>0</v>
      </c>
      <c r="K14" s="275">
        <f t="shared" si="1"/>
        <v>0</v>
      </c>
      <c r="L14" s="274">
        <f>Heat_Generating_Equipment[[#This Row],[Server Load 
(Watts)]]*Heat_Generating_Equipment[[#This Row],[Server Diversity]]*3.41*Heat_Generating_Equipment[[#This Row],[Number of Servers]]</f>
        <v>0</v>
      </c>
      <c r="M14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5" spans="2:13" ht="13.8">
      <c r="B15" s="276"/>
      <c r="C15" s="276"/>
      <c r="D15" s="276"/>
      <c r="E15" s="276"/>
      <c r="F15" s="278"/>
      <c r="G15" s="276"/>
      <c r="H15" s="277"/>
      <c r="I15" s="276"/>
      <c r="J15" s="274">
        <f t="shared" si="0"/>
        <v>0</v>
      </c>
      <c r="K15" s="275">
        <f t="shared" si="1"/>
        <v>0</v>
      </c>
      <c r="L15" s="274">
        <f>Heat_Generating_Equipment[[#This Row],[Server Load 
(Watts)]]*Heat_Generating_Equipment[[#This Row],[Server Diversity]]*3.41*Heat_Generating_Equipment[[#This Row],[Number of Servers]]</f>
        <v>0</v>
      </c>
      <c r="M15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6" spans="2:13" ht="13.8">
      <c r="B16" s="276"/>
      <c r="C16" s="276"/>
      <c r="D16" s="276"/>
      <c r="E16" s="276"/>
      <c r="F16" s="278"/>
      <c r="G16" s="276"/>
      <c r="H16" s="277"/>
      <c r="I16" s="276"/>
      <c r="J16" s="274">
        <f t="shared" si="0"/>
        <v>0</v>
      </c>
      <c r="K16" s="275">
        <f t="shared" si="1"/>
        <v>0</v>
      </c>
      <c r="L16" s="274">
        <f>Heat_Generating_Equipment[[#This Row],[Server Load 
(Watts)]]*Heat_Generating_Equipment[[#This Row],[Server Diversity]]*3.41*Heat_Generating_Equipment[[#This Row],[Number of Servers]]</f>
        <v>0</v>
      </c>
      <c r="M16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7" spans="2:13" ht="13.8">
      <c r="B17" s="276"/>
      <c r="C17" s="276"/>
      <c r="D17" s="276"/>
      <c r="E17" s="276"/>
      <c r="F17" s="278"/>
      <c r="G17" s="276"/>
      <c r="H17" s="277"/>
      <c r="I17" s="276"/>
      <c r="J17" s="274">
        <f t="shared" si="0"/>
        <v>0</v>
      </c>
      <c r="K17" s="275">
        <f t="shared" si="1"/>
        <v>0</v>
      </c>
      <c r="L17" s="274">
        <f>Heat_Generating_Equipment[[#This Row],[Server Load 
(Watts)]]*Heat_Generating_Equipment[[#This Row],[Server Diversity]]*3.41*Heat_Generating_Equipment[[#This Row],[Number of Servers]]</f>
        <v>0</v>
      </c>
      <c r="M17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8" spans="2:13" ht="13.8">
      <c r="B18" s="276"/>
      <c r="C18" s="276"/>
      <c r="D18" s="276"/>
      <c r="E18" s="276"/>
      <c r="F18" s="278"/>
      <c r="G18" s="276"/>
      <c r="H18" s="277"/>
      <c r="I18" s="276"/>
      <c r="J18" s="274">
        <f t="shared" si="0"/>
        <v>0</v>
      </c>
      <c r="K18" s="275">
        <f t="shared" si="1"/>
        <v>0</v>
      </c>
      <c r="L18" s="274">
        <f>Heat_Generating_Equipment[[#This Row],[Server Load 
(Watts)]]*Heat_Generating_Equipment[[#This Row],[Server Diversity]]*3.41*Heat_Generating_Equipment[[#This Row],[Number of Servers]]</f>
        <v>0</v>
      </c>
      <c r="M18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9" spans="2:13" ht="13.8">
      <c r="B19" s="276"/>
      <c r="C19" s="276"/>
      <c r="D19" s="276"/>
      <c r="E19" s="276"/>
      <c r="F19" s="278"/>
      <c r="G19" s="276"/>
      <c r="H19" s="277"/>
      <c r="I19" s="276"/>
      <c r="J19" s="274">
        <f t="shared" si="0"/>
        <v>0</v>
      </c>
      <c r="K19" s="275">
        <f t="shared" si="1"/>
        <v>0</v>
      </c>
      <c r="L19" s="274">
        <f>Heat_Generating_Equipment[[#This Row],[Server Load 
(Watts)]]*Heat_Generating_Equipment[[#This Row],[Server Diversity]]*3.41*Heat_Generating_Equipment[[#This Row],[Number of Servers]]</f>
        <v>0</v>
      </c>
      <c r="M19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0" spans="2:13" ht="13.8">
      <c r="B20" s="276"/>
      <c r="C20" s="276"/>
      <c r="D20" s="276"/>
      <c r="E20" s="276"/>
      <c r="F20" s="278"/>
      <c r="G20" s="276"/>
      <c r="H20" s="277"/>
      <c r="I20" s="276"/>
      <c r="J20" s="274">
        <f t="shared" si="0"/>
        <v>0</v>
      </c>
      <c r="K20" s="275">
        <f t="shared" si="1"/>
        <v>0</v>
      </c>
      <c r="L20" s="274">
        <f>Heat_Generating_Equipment[[#This Row],[Server Load 
(Watts)]]*Heat_Generating_Equipment[[#This Row],[Server Diversity]]*3.41*Heat_Generating_Equipment[[#This Row],[Number of Servers]]</f>
        <v>0</v>
      </c>
      <c r="M20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1" spans="2:13" ht="13.8">
      <c r="B21" s="276"/>
      <c r="C21" s="276"/>
      <c r="D21" s="276"/>
      <c r="E21" s="276"/>
      <c r="F21" s="278"/>
      <c r="G21" s="276"/>
      <c r="H21" s="277"/>
      <c r="I21" s="276"/>
      <c r="J21" s="274">
        <f t="shared" si="0"/>
        <v>0</v>
      </c>
      <c r="K21" s="275">
        <f t="shared" si="1"/>
        <v>0</v>
      </c>
      <c r="L21" s="274">
        <f>Heat_Generating_Equipment[[#This Row],[Server Load 
(Watts)]]*Heat_Generating_Equipment[[#This Row],[Server Diversity]]*3.41*Heat_Generating_Equipment[[#This Row],[Number of Servers]]</f>
        <v>0</v>
      </c>
      <c r="M21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2" spans="2:13" ht="13.8">
      <c r="B22" s="276"/>
      <c r="C22" s="276"/>
      <c r="D22" s="276"/>
      <c r="E22" s="276"/>
      <c r="F22" s="278"/>
      <c r="G22" s="276"/>
      <c r="H22" s="277"/>
      <c r="I22" s="276"/>
      <c r="J22" s="274">
        <f t="shared" si="0"/>
        <v>0</v>
      </c>
      <c r="K22" s="275">
        <f t="shared" si="1"/>
        <v>0</v>
      </c>
      <c r="L22" s="274">
        <f>Heat_Generating_Equipment[[#This Row],[Server Load 
(Watts)]]*Heat_Generating_Equipment[[#This Row],[Server Diversity]]*3.41*Heat_Generating_Equipment[[#This Row],[Number of Servers]]</f>
        <v>0</v>
      </c>
      <c r="M22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3" spans="2:13" ht="13.8">
      <c r="B23" s="276"/>
      <c r="C23" s="276"/>
      <c r="D23" s="276"/>
      <c r="E23" s="276"/>
      <c r="F23" s="278"/>
      <c r="G23" s="276"/>
      <c r="H23" s="277"/>
      <c r="I23" s="276"/>
      <c r="J23" s="274">
        <f t="shared" si="0"/>
        <v>0</v>
      </c>
      <c r="K23" s="275">
        <f t="shared" si="1"/>
        <v>0</v>
      </c>
      <c r="L23" s="274">
        <f>Heat_Generating_Equipment[[#This Row],[Server Load 
(Watts)]]*Heat_Generating_Equipment[[#This Row],[Server Diversity]]*3.41*Heat_Generating_Equipment[[#This Row],[Number of Servers]]</f>
        <v>0</v>
      </c>
      <c r="M23" s="27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4" spans="2:13" ht="15.6">
      <c r="B24" s="271" t="s">
        <v>686</v>
      </c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1">
        <f>SUBTOTAL(109,Heat_Generating_Equipment[Total 
BTUs])</f>
        <v>178115</v>
      </c>
    </row>
  </sheetData>
  <mergeCells count="4">
    <mergeCell ref="B6:M6"/>
    <mergeCell ref="E7:F7"/>
    <mergeCell ref="C7:D7"/>
    <mergeCell ref="G7:I7"/>
  </mergeCells>
  <conditionalFormatting sqref="C9:I23">
    <cfRule type="cellIs" dxfId="75" priority="1" operator="equal">
      <formula>0</formula>
    </cfRule>
  </conditionalFormatting>
  <pageMargins left="0.7" right="0.7" top="0.75" bottom="0.75" header="0.3" footer="0.3"/>
  <pageSetup scale="82" orientation="landscape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269</v>
      </c>
      <c r="C1" s="11" t="s">
        <v>0</v>
      </c>
      <c r="D1" s="11" t="s">
        <v>270</v>
      </c>
      <c r="E1" s="11" t="s">
        <v>271</v>
      </c>
      <c r="F1" s="72" t="s">
        <v>36</v>
      </c>
      <c r="G1" s="72" t="s">
        <v>272</v>
      </c>
      <c r="H1"/>
      <c r="J1" s="11" t="s">
        <v>87</v>
      </c>
      <c r="K1" s="11" t="s">
        <v>273</v>
      </c>
      <c r="L1" s="11" t="s">
        <v>274</v>
      </c>
      <c r="M1" s="11" t="s">
        <v>275</v>
      </c>
      <c r="N1" s="11" t="s">
        <v>276</v>
      </c>
      <c r="O1" s="11"/>
      <c r="P1" s="11"/>
      <c r="Q1" s="11"/>
    </row>
    <row r="2" spans="1:28">
      <c r="A2" s="84" t="s">
        <v>277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278</v>
      </c>
      <c r="K2" s="74">
        <v>0</v>
      </c>
      <c r="L2" s="71">
        <v>0.9</v>
      </c>
      <c r="M2" s="71"/>
      <c r="N2" s="71">
        <v>3</v>
      </c>
      <c r="Q2" s="11" t="s">
        <v>279</v>
      </c>
      <c r="T2" s="11" t="s">
        <v>280</v>
      </c>
      <c r="U2" t="s">
        <v>727</v>
      </c>
      <c r="V2" t="s">
        <v>728</v>
      </c>
      <c r="W2" t="s">
        <v>729</v>
      </c>
      <c r="Y2" s="11" t="s">
        <v>280</v>
      </c>
      <c r="Z2" t="s">
        <v>727</v>
      </c>
      <c r="AA2" t="s">
        <v>728</v>
      </c>
      <c r="AB2" t="s">
        <v>729</v>
      </c>
    </row>
    <row r="3" spans="1:28">
      <c r="A3" s="84" t="s">
        <v>278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281</v>
      </c>
      <c r="K3" s="71">
        <v>0</v>
      </c>
      <c r="L3" s="71">
        <v>3</v>
      </c>
      <c r="M3" s="71"/>
      <c r="N3" s="71">
        <v>3</v>
      </c>
      <c r="Q3">
        <v>1</v>
      </c>
      <c r="T3" s="310">
        <v>7</v>
      </c>
      <c r="U3">
        <v>400</v>
      </c>
      <c r="V3">
        <v>200</v>
      </c>
      <c r="W3">
        <v>150</v>
      </c>
      <c r="Y3" s="310">
        <v>7</v>
      </c>
      <c r="Z3">
        <v>800</v>
      </c>
      <c r="AA3">
        <v>400</v>
      </c>
      <c r="AB3">
        <v>250</v>
      </c>
    </row>
    <row r="4" spans="1:28">
      <c r="A4" s="84" t="s">
        <v>281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282</v>
      </c>
      <c r="K4" s="71">
        <v>0</v>
      </c>
      <c r="L4" s="71">
        <v>1.5</v>
      </c>
      <c r="M4" s="71"/>
      <c r="N4" s="71">
        <v>3</v>
      </c>
      <c r="Q4">
        <v>0.8</v>
      </c>
      <c r="T4" s="310">
        <v>8</v>
      </c>
      <c r="U4">
        <v>400</v>
      </c>
      <c r="V4">
        <v>200</v>
      </c>
      <c r="W4">
        <v>150</v>
      </c>
      <c r="Y4" s="310">
        <v>8</v>
      </c>
      <c r="Z4">
        <v>800</v>
      </c>
      <c r="AA4">
        <v>400</v>
      </c>
      <c r="AB4">
        <v>250</v>
      </c>
    </row>
    <row r="5" spans="1:28">
      <c r="A5" s="84" t="s">
        <v>282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268</v>
      </c>
      <c r="K5" s="71">
        <v>0</v>
      </c>
      <c r="L5" s="71">
        <v>1.5</v>
      </c>
      <c r="M5" s="71"/>
      <c r="N5" s="71">
        <v>3</v>
      </c>
      <c r="Q5">
        <v>0.7</v>
      </c>
      <c r="T5" s="311" t="s">
        <v>289</v>
      </c>
      <c r="U5">
        <v>800</v>
      </c>
      <c r="V5">
        <v>400</v>
      </c>
      <c r="W5">
        <v>250</v>
      </c>
      <c r="Y5" s="311" t="s">
        <v>283</v>
      </c>
      <c r="Z5">
        <v>1400</v>
      </c>
      <c r="AA5">
        <v>900</v>
      </c>
      <c r="AB5">
        <v>400</v>
      </c>
    </row>
    <row r="6" spans="1:28">
      <c r="A6" s="84" t="s">
        <v>268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284</v>
      </c>
      <c r="K6" s="71">
        <v>0</v>
      </c>
      <c r="L6" s="71">
        <v>2.25</v>
      </c>
      <c r="M6" s="71"/>
      <c r="N6" s="71">
        <v>3</v>
      </c>
      <c r="Q6">
        <v>0.5</v>
      </c>
      <c r="T6" s="311" t="s">
        <v>291</v>
      </c>
      <c r="U6">
        <v>800</v>
      </c>
      <c r="V6">
        <v>400</v>
      </c>
      <c r="W6">
        <v>250</v>
      </c>
      <c r="Y6" s="311" t="s">
        <v>285</v>
      </c>
      <c r="Z6">
        <v>1400</v>
      </c>
      <c r="AA6">
        <v>900</v>
      </c>
      <c r="AB6">
        <v>400</v>
      </c>
    </row>
    <row r="7" spans="1:28">
      <c r="A7" s="84" t="s">
        <v>284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286</v>
      </c>
      <c r="K7" s="71">
        <v>0</v>
      </c>
      <c r="L7" s="71">
        <v>1.5</v>
      </c>
      <c r="M7" s="71"/>
      <c r="N7" s="71">
        <v>3</v>
      </c>
      <c r="Q7">
        <v>1.05</v>
      </c>
      <c r="T7" s="311" t="s">
        <v>322</v>
      </c>
      <c r="U7">
        <v>2400</v>
      </c>
      <c r="V7">
        <v>1100</v>
      </c>
      <c r="W7">
        <v>600</v>
      </c>
      <c r="Y7" s="311" t="s">
        <v>287</v>
      </c>
      <c r="Z7">
        <v>1400</v>
      </c>
      <c r="AA7">
        <v>900</v>
      </c>
      <c r="AB7">
        <v>400</v>
      </c>
    </row>
    <row r="8" spans="1:28">
      <c r="A8" s="84" t="s">
        <v>286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288</v>
      </c>
      <c r="K8" s="71">
        <v>0</v>
      </c>
      <c r="L8" s="71">
        <v>2.25</v>
      </c>
      <c r="M8" s="71"/>
      <c r="N8" s="71">
        <v>3</v>
      </c>
      <c r="Q8">
        <v>1.2</v>
      </c>
      <c r="T8" s="311" t="s">
        <v>293</v>
      </c>
      <c r="U8">
        <v>800</v>
      </c>
      <c r="V8">
        <v>400</v>
      </c>
      <c r="W8">
        <v>250</v>
      </c>
      <c r="Y8" s="311" t="s">
        <v>289</v>
      </c>
      <c r="Z8">
        <v>2000</v>
      </c>
      <c r="AA8">
        <v>1000</v>
      </c>
      <c r="AB8">
        <v>500</v>
      </c>
    </row>
    <row r="9" spans="1:28">
      <c r="A9" s="84" t="s">
        <v>290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105</v>
      </c>
      <c r="K9" s="71">
        <v>0</v>
      </c>
      <c r="L9" s="71">
        <v>2.25</v>
      </c>
      <c r="M9" s="71"/>
      <c r="N9" s="71">
        <v>3</v>
      </c>
      <c r="Q9">
        <v>1.5</v>
      </c>
      <c r="T9" s="311" t="s">
        <v>308</v>
      </c>
      <c r="U9">
        <v>1100</v>
      </c>
      <c r="V9">
        <v>600</v>
      </c>
      <c r="W9">
        <v>300</v>
      </c>
      <c r="Y9" s="311" t="s">
        <v>291</v>
      </c>
      <c r="Z9">
        <v>2000</v>
      </c>
      <c r="AA9">
        <v>1000</v>
      </c>
      <c r="AB9">
        <v>500</v>
      </c>
    </row>
    <row r="10" spans="1:28">
      <c r="A10" s="84" t="s">
        <v>105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292</v>
      </c>
      <c r="K10" s="71">
        <v>0</v>
      </c>
      <c r="L10" s="71">
        <v>2.25</v>
      </c>
      <c r="M10" s="71"/>
      <c r="N10" s="71">
        <v>3</v>
      </c>
      <c r="Q10">
        <v>1.4</v>
      </c>
      <c r="T10" s="311" t="s">
        <v>311</v>
      </c>
      <c r="U10">
        <v>1100</v>
      </c>
      <c r="V10">
        <v>600</v>
      </c>
      <c r="W10">
        <v>300</v>
      </c>
      <c r="Y10" s="311" t="s">
        <v>293</v>
      </c>
      <c r="Z10">
        <v>2000</v>
      </c>
      <c r="AA10">
        <v>1000</v>
      </c>
      <c r="AB10">
        <v>500</v>
      </c>
    </row>
    <row r="11" spans="1:28">
      <c r="A11" s="84" t="s">
        <v>292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294</v>
      </c>
      <c r="K11" s="71">
        <v>0</v>
      </c>
      <c r="L11" s="71">
        <v>1.5</v>
      </c>
      <c r="M11" s="71"/>
      <c r="N11" s="71">
        <v>3</v>
      </c>
      <c r="Q11">
        <v>1.4</v>
      </c>
      <c r="T11" s="311" t="s">
        <v>295</v>
      </c>
      <c r="U11">
        <v>800</v>
      </c>
      <c r="V11">
        <v>400</v>
      </c>
      <c r="W11">
        <v>250</v>
      </c>
      <c r="Y11" s="311" t="s">
        <v>295</v>
      </c>
      <c r="Z11">
        <v>2000</v>
      </c>
      <c r="AA11">
        <v>1000</v>
      </c>
      <c r="AB11">
        <v>500</v>
      </c>
    </row>
    <row r="12" spans="1:28">
      <c r="A12" s="84" t="s">
        <v>294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296</v>
      </c>
      <c r="K12" s="71">
        <v>0</v>
      </c>
      <c r="L12" s="71">
        <v>0.5</v>
      </c>
      <c r="M12" s="71" t="s">
        <v>297</v>
      </c>
      <c r="N12" s="71">
        <v>1</v>
      </c>
      <c r="Q12">
        <v>1.2</v>
      </c>
      <c r="T12" s="311" t="s">
        <v>125</v>
      </c>
      <c r="U12">
        <v>1500</v>
      </c>
      <c r="V12">
        <v>700</v>
      </c>
      <c r="W12">
        <v>400</v>
      </c>
      <c r="Y12" s="311" t="s">
        <v>298</v>
      </c>
      <c r="Z12">
        <v>2000</v>
      </c>
      <c r="AA12">
        <v>1000</v>
      </c>
      <c r="AB12">
        <v>500</v>
      </c>
    </row>
    <row r="13" spans="1:28">
      <c r="A13" s="84" t="s">
        <v>299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300</v>
      </c>
      <c r="K13" s="71">
        <v>0</v>
      </c>
      <c r="L13" s="71">
        <v>0.7</v>
      </c>
      <c r="M13" s="71"/>
      <c r="N13" s="71">
        <v>2</v>
      </c>
      <c r="Q13">
        <v>1.5</v>
      </c>
      <c r="T13" s="311" t="s">
        <v>325</v>
      </c>
      <c r="U13">
        <v>7000</v>
      </c>
      <c r="V13">
        <v>3000</v>
      </c>
      <c r="W13">
        <v>1700</v>
      </c>
      <c r="Y13" s="311" t="s">
        <v>301</v>
      </c>
      <c r="Z13">
        <v>2000</v>
      </c>
      <c r="AA13">
        <v>1000</v>
      </c>
      <c r="AB13">
        <v>500</v>
      </c>
    </row>
    <row r="14" spans="1:28">
      <c r="A14" s="84" t="s">
        <v>302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303</v>
      </c>
      <c r="K14" s="71">
        <v>0</v>
      </c>
      <c r="L14" s="71">
        <v>1.5</v>
      </c>
      <c r="M14" s="71" t="s">
        <v>304</v>
      </c>
      <c r="N14" s="71">
        <v>2</v>
      </c>
      <c r="T14" s="311" t="s">
        <v>298</v>
      </c>
      <c r="U14">
        <v>800</v>
      </c>
      <c r="V14">
        <v>400</v>
      </c>
      <c r="W14">
        <v>250</v>
      </c>
      <c r="Y14" s="311" t="s">
        <v>305</v>
      </c>
      <c r="Z14">
        <v>2000</v>
      </c>
      <c r="AA14">
        <v>1000</v>
      </c>
      <c r="AB14">
        <v>500</v>
      </c>
    </row>
    <row r="15" spans="1:28">
      <c r="A15" s="84" t="s">
        <v>306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307</v>
      </c>
      <c r="K15" s="71">
        <v>0</v>
      </c>
      <c r="L15" s="71">
        <v>0.5</v>
      </c>
      <c r="M15" s="71"/>
      <c r="N15" s="71">
        <v>2</v>
      </c>
      <c r="T15" s="311" t="s">
        <v>319</v>
      </c>
      <c r="U15">
        <v>1500</v>
      </c>
      <c r="V15">
        <v>700</v>
      </c>
      <c r="W15">
        <v>400</v>
      </c>
      <c r="Y15" s="311" t="s">
        <v>308</v>
      </c>
      <c r="Z15">
        <v>2300</v>
      </c>
      <c r="AA15">
        <v>1100</v>
      </c>
      <c r="AB15">
        <v>600</v>
      </c>
    </row>
    <row r="16" spans="1:28">
      <c r="A16" s="84" t="s">
        <v>309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310</v>
      </c>
      <c r="K16" s="71">
        <v>0</v>
      </c>
      <c r="L16" s="71">
        <v>0.6</v>
      </c>
      <c r="M16" s="71"/>
      <c r="N16" s="71">
        <v>2</v>
      </c>
      <c r="T16" s="311" t="s">
        <v>314</v>
      </c>
      <c r="U16">
        <v>1100</v>
      </c>
      <c r="V16">
        <v>600</v>
      </c>
      <c r="W16">
        <v>300</v>
      </c>
      <c r="Y16" s="311" t="s">
        <v>311</v>
      </c>
      <c r="Z16">
        <v>2300</v>
      </c>
      <c r="AA16">
        <v>1100</v>
      </c>
      <c r="AB16">
        <v>600</v>
      </c>
    </row>
    <row r="17" spans="1:28">
      <c r="A17" s="84" t="s">
        <v>312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313</v>
      </c>
      <c r="K17" s="71">
        <v>0</v>
      </c>
      <c r="L17" s="71">
        <v>1</v>
      </c>
      <c r="M17" s="71"/>
      <c r="N17" s="71">
        <v>2</v>
      </c>
      <c r="T17" s="311" t="s">
        <v>283</v>
      </c>
      <c r="U17">
        <v>600</v>
      </c>
      <c r="V17">
        <v>250</v>
      </c>
      <c r="W17">
        <v>150</v>
      </c>
      <c r="Y17" s="311" t="s">
        <v>314</v>
      </c>
      <c r="Z17">
        <v>2300</v>
      </c>
      <c r="AA17">
        <v>1100</v>
      </c>
      <c r="AB17">
        <v>600</v>
      </c>
    </row>
    <row r="18" spans="1:28">
      <c r="A18" s="84" t="s">
        <v>315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316</v>
      </c>
      <c r="K18" s="71">
        <v>0</v>
      </c>
      <c r="L18" s="71">
        <v>0.5</v>
      </c>
      <c r="M18" s="71"/>
      <c r="N18" s="71">
        <v>2</v>
      </c>
      <c r="T18" s="311" t="s">
        <v>301</v>
      </c>
      <c r="U18">
        <v>800</v>
      </c>
      <c r="V18">
        <v>400</v>
      </c>
      <c r="W18">
        <v>250</v>
      </c>
      <c r="Y18" s="311" t="s">
        <v>125</v>
      </c>
      <c r="Z18">
        <v>5200</v>
      </c>
      <c r="AA18">
        <v>2350</v>
      </c>
      <c r="AB18">
        <v>1250</v>
      </c>
    </row>
    <row r="19" spans="1:28">
      <c r="A19" s="84" t="s">
        <v>317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318</v>
      </c>
      <c r="K19" s="71">
        <v>0</v>
      </c>
      <c r="L19" s="71">
        <v>1</v>
      </c>
      <c r="M19" s="71"/>
      <c r="N19" s="71">
        <v>2</v>
      </c>
      <c r="Q19" t="s">
        <v>112</v>
      </c>
      <c r="T19" s="311" t="s">
        <v>305</v>
      </c>
      <c r="U19">
        <v>800</v>
      </c>
      <c r="V19">
        <v>400</v>
      </c>
      <c r="W19">
        <v>250</v>
      </c>
      <c r="Y19" s="311" t="s">
        <v>319</v>
      </c>
      <c r="Z19">
        <v>5200</v>
      </c>
      <c r="AA19">
        <v>2350</v>
      </c>
      <c r="AB19">
        <v>1250</v>
      </c>
    </row>
    <row r="20" spans="1:28">
      <c r="A20" s="84" t="s">
        <v>320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321</v>
      </c>
      <c r="K20" s="71">
        <v>0</v>
      </c>
      <c r="L20" s="71">
        <v>1</v>
      </c>
      <c r="M20" s="71"/>
      <c r="N20" s="71">
        <v>2</v>
      </c>
      <c r="Q20" t="s">
        <v>49</v>
      </c>
      <c r="T20" s="311" t="s">
        <v>285</v>
      </c>
      <c r="U20">
        <v>600</v>
      </c>
      <c r="V20">
        <v>250</v>
      </c>
      <c r="W20">
        <v>150</v>
      </c>
      <c r="Y20" s="311" t="s">
        <v>322</v>
      </c>
      <c r="Z20">
        <v>5800</v>
      </c>
      <c r="AA20">
        <v>2600</v>
      </c>
      <c r="AB20">
        <v>1400</v>
      </c>
    </row>
    <row r="21" spans="1:28">
      <c r="A21" s="84" t="s">
        <v>323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324</v>
      </c>
      <c r="K21" s="71">
        <v>0</v>
      </c>
      <c r="L21" s="71">
        <v>1</v>
      </c>
      <c r="M21" s="71"/>
      <c r="N21" s="71">
        <v>3</v>
      </c>
      <c r="T21" s="311" t="s">
        <v>287</v>
      </c>
      <c r="U21">
        <v>600</v>
      </c>
      <c r="V21">
        <v>250</v>
      </c>
      <c r="W21">
        <v>150</v>
      </c>
      <c r="Y21" s="311" t="s">
        <v>325</v>
      </c>
      <c r="Z21">
        <v>12000</v>
      </c>
      <c r="AA21">
        <v>6000</v>
      </c>
      <c r="AB21">
        <v>3000</v>
      </c>
    </row>
    <row r="22" spans="1:28">
      <c r="A22" s="84" t="s">
        <v>326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327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328</v>
      </c>
      <c r="B23" s="71">
        <v>7.5</v>
      </c>
      <c r="C23" s="71">
        <v>0.06</v>
      </c>
      <c r="D23" s="71">
        <v>65</v>
      </c>
      <c r="E23" s="71">
        <v>1</v>
      </c>
      <c r="F23" s="73" t="s">
        <v>112</v>
      </c>
      <c r="G23" s="71" t="s">
        <v>49</v>
      </c>
      <c r="H23"/>
      <c r="J23" s="85" t="s">
        <v>329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330</v>
      </c>
      <c r="B24" s="71">
        <v>7.5</v>
      </c>
      <c r="C24" s="71">
        <v>0.06</v>
      </c>
      <c r="D24" s="71">
        <v>150</v>
      </c>
      <c r="E24" s="71">
        <v>1</v>
      </c>
      <c r="F24" s="73" t="s">
        <v>112</v>
      </c>
      <c r="G24" s="71" t="s">
        <v>49</v>
      </c>
      <c r="H24"/>
      <c r="J24" s="85" t="s">
        <v>331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107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332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333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334</v>
      </c>
      <c r="K26" s="71">
        <v>50</v>
      </c>
      <c r="L26" s="71"/>
      <c r="M26" s="71" t="s">
        <v>335</v>
      </c>
      <c r="N26" s="71">
        <v>2</v>
      </c>
      <c r="S26">
        <f>VLOOKUP(INPUT_OUTPUTS!C6,DCV_noEArecovery[#All],2)</f>
        <v>400</v>
      </c>
    </row>
    <row r="27" spans="1:28">
      <c r="A27" s="84" t="s">
        <v>336</v>
      </c>
      <c r="B27" s="71">
        <v>7.5</v>
      </c>
      <c r="C27" s="71">
        <v>0.06</v>
      </c>
      <c r="D27" s="71">
        <v>100</v>
      </c>
      <c r="E27" s="71">
        <v>1</v>
      </c>
      <c r="F27" s="73" t="s">
        <v>112</v>
      </c>
      <c r="G27" s="71" t="s">
        <v>49</v>
      </c>
      <c r="H27"/>
      <c r="J27" s="85" t="s">
        <v>337</v>
      </c>
      <c r="K27" s="71">
        <v>0</v>
      </c>
      <c r="L27" s="71">
        <v>0</v>
      </c>
      <c r="M27" s="71" t="s">
        <v>151</v>
      </c>
      <c r="N27" s="71">
        <v>4</v>
      </c>
    </row>
    <row r="28" spans="1:28">
      <c r="A28" s="84" t="s">
        <v>338</v>
      </c>
      <c r="B28" s="71">
        <v>10</v>
      </c>
      <c r="C28" s="71">
        <v>0.06</v>
      </c>
      <c r="D28" s="71">
        <v>35</v>
      </c>
      <c r="E28" s="71">
        <v>1</v>
      </c>
      <c r="F28" s="73" t="s">
        <v>112</v>
      </c>
      <c r="G28" s="71" t="s">
        <v>49</v>
      </c>
      <c r="H28"/>
      <c r="J28" s="85" t="s">
        <v>339</v>
      </c>
      <c r="K28" s="71">
        <v>0</v>
      </c>
      <c r="L28" s="71">
        <v>0.75</v>
      </c>
      <c r="M28" s="71" t="s">
        <v>340</v>
      </c>
      <c r="N28" s="71">
        <v>2</v>
      </c>
    </row>
    <row r="29" spans="1:28">
      <c r="A29" s="84" t="s">
        <v>341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342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343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344</v>
      </c>
      <c r="K30" s="71">
        <v>0</v>
      </c>
      <c r="L30" s="71">
        <v>0</v>
      </c>
      <c r="M30" s="71" t="s">
        <v>151</v>
      </c>
      <c r="N30" s="71">
        <v>3</v>
      </c>
    </row>
    <row r="31" spans="1:28">
      <c r="A31" s="84" t="s">
        <v>345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346</v>
      </c>
      <c r="K31" s="71">
        <v>100</v>
      </c>
      <c r="L31" s="71">
        <v>0</v>
      </c>
      <c r="M31" s="71" t="s">
        <v>335</v>
      </c>
      <c r="N31" s="71">
        <v>2</v>
      </c>
    </row>
    <row r="32" spans="1:28">
      <c r="A32" s="84" t="s">
        <v>347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348</v>
      </c>
      <c r="K32" s="71">
        <v>0</v>
      </c>
      <c r="L32" s="71">
        <v>1</v>
      </c>
      <c r="M32" s="71" t="s">
        <v>151</v>
      </c>
      <c r="N32" s="71">
        <v>3</v>
      </c>
    </row>
    <row r="33" spans="1:14">
      <c r="A33" s="84" t="s">
        <v>349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350</v>
      </c>
      <c r="K33" s="71">
        <v>0</v>
      </c>
      <c r="L33" s="71">
        <v>1.5</v>
      </c>
      <c r="M33" s="71" t="s">
        <v>151</v>
      </c>
      <c r="N33" s="71">
        <v>4</v>
      </c>
    </row>
    <row r="34" spans="1:14">
      <c r="A34" s="84" t="s">
        <v>351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352</v>
      </c>
      <c r="N34" s="71">
        <v>2</v>
      </c>
    </row>
    <row r="35" spans="1:14">
      <c r="A35" s="84" t="s">
        <v>353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354</v>
      </c>
      <c r="K35" s="71">
        <v>70</v>
      </c>
      <c r="L35" s="71">
        <v>0</v>
      </c>
      <c r="M35" s="71" t="s">
        <v>355</v>
      </c>
      <c r="N35" s="71">
        <v>2</v>
      </c>
    </row>
    <row r="36" spans="1:14">
      <c r="A36" s="84" t="s">
        <v>356</v>
      </c>
      <c r="B36" s="71">
        <v>5</v>
      </c>
      <c r="C36" s="71">
        <v>0.06</v>
      </c>
      <c r="D36" s="71">
        <v>25</v>
      </c>
      <c r="E36" s="71">
        <v>1</v>
      </c>
      <c r="F36" s="73" t="s">
        <v>112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357</v>
      </c>
      <c r="B37" s="71">
        <v>5</v>
      </c>
      <c r="C37" s="71">
        <v>0.06</v>
      </c>
      <c r="D37" s="71">
        <v>20</v>
      </c>
      <c r="E37" s="71">
        <v>1</v>
      </c>
      <c r="F37" s="73" t="s">
        <v>112</v>
      </c>
      <c r="G37" s="71" t="s">
        <v>49</v>
      </c>
      <c r="H37"/>
      <c r="J37" s="85" t="s">
        <v>358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112</v>
      </c>
      <c r="G38" s="71" t="s">
        <v>49</v>
      </c>
      <c r="H38"/>
    </row>
    <row r="39" spans="1:14">
      <c r="A39" s="84" t="s">
        <v>359</v>
      </c>
      <c r="B39" s="71">
        <v>0</v>
      </c>
      <c r="C39" s="71">
        <v>0.06</v>
      </c>
      <c r="D39" s="71">
        <v>0</v>
      </c>
      <c r="E39" s="71">
        <v>1</v>
      </c>
      <c r="F39" s="73" t="s">
        <v>112</v>
      </c>
      <c r="G39" s="71" t="s">
        <v>112</v>
      </c>
      <c r="H39"/>
    </row>
    <row r="40" spans="1:14">
      <c r="A40" s="84" t="s">
        <v>360</v>
      </c>
      <c r="B40" s="71">
        <v>5</v>
      </c>
      <c r="C40" s="71">
        <v>0.12</v>
      </c>
      <c r="D40" s="71">
        <v>2</v>
      </c>
      <c r="E40" s="71">
        <v>2</v>
      </c>
      <c r="F40" s="73" t="s">
        <v>112</v>
      </c>
      <c r="G40" s="71" t="s">
        <v>49</v>
      </c>
      <c r="H40"/>
    </row>
    <row r="41" spans="1:14">
      <c r="A41" s="84" t="s">
        <v>104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112</v>
      </c>
      <c r="H41"/>
    </row>
    <row r="42" spans="1:14">
      <c r="A42" s="84" t="s">
        <v>361</v>
      </c>
      <c r="B42" s="71">
        <v>5</v>
      </c>
      <c r="C42" s="71">
        <v>0.06</v>
      </c>
      <c r="D42" s="71">
        <v>20</v>
      </c>
      <c r="E42" s="71">
        <v>1</v>
      </c>
      <c r="F42" s="73" t="s">
        <v>112</v>
      </c>
      <c r="G42" s="71" t="s">
        <v>49</v>
      </c>
      <c r="H42"/>
    </row>
    <row r="43" spans="1:14">
      <c r="A43" s="84" t="s">
        <v>362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363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364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365</v>
      </c>
      <c r="B46" s="71">
        <v>7.5</v>
      </c>
      <c r="C46" s="71">
        <v>0.06</v>
      </c>
      <c r="D46" s="71">
        <v>30</v>
      </c>
      <c r="E46" s="71">
        <v>1</v>
      </c>
      <c r="F46" s="73" t="s">
        <v>112</v>
      </c>
      <c r="G46" s="71" t="s">
        <v>49</v>
      </c>
      <c r="H46"/>
    </row>
    <row r="47" spans="1:14">
      <c r="A47" s="84" t="s">
        <v>366</v>
      </c>
      <c r="B47" s="71">
        <v>5</v>
      </c>
      <c r="C47" s="71">
        <v>0.06</v>
      </c>
      <c r="D47" s="71">
        <v>120</v>
      </c>
      <c r="E47" s="71">
        <v>1</v>
      </c>
      <c r="F47" s="73" t="s">
        <v>112</v>
      </c>
      <c r="G47" s="71" t="s">
        <v>49</v>
      </c>
      <c r="H47"/>
    </row>
    <row r="48" spans="1:14">
      <c r="A48" s="84" t="s">
        <v>367</v>
      </c>
      <c r="B48" s="71">
        <v>5</v>
      </c>
      <c r="C48" s="71">
        <v>0.06</v>
      </c>
      <c r="D48" s="71">
        <v>5</v>
      </c>
      <c r="E48" s="71">
        <v>2</v>
      </c>
      <c r="F48" s="73" t="s">
        <v>112</v>
      </c>
      <c r="G48" s="71" t="s">
        <v>49</v>
      </c>
      <c r="H48"/>
    </row>
    <row r="49" spans="1:8">
      <c r="A49" s="84" t="s">
        <v>368</v>
      </c>
      <c r="B49" s="71">
        <v>7.5</v>
      </c>
      <c r="C49" s="71">
        <v>0.06</v>
      </c>
      <c r="D49" s="71">
        <v>15</v>
      </c>
      <c r="E49" s="71">
        <v>1</v>
      </c>
      <c r="F49" s="73" t="s">
        <v>112</v>
      </c>
      <c r="G49" s="71" t="s">
        <v>49</v>
      </c>
      <c r="H49"/>
    </row>
    <row r="50" spans="1:8">
      <c r="A50" s="84" t="s">
        <v>369</v>
      </c>
      <c r="B50" s="71">
        <v>5</v>
      </c>
      <c r="C50" s="71">
        <v>0.06</v>
      </c>
      <c r="D50" s="71">
        <v>4</v>
      </c>
      <c r="E50" s="71">
        <v>1</v>
      </c>
      <c r="F50" s="73" t="s">
        <v>112</v>
      </c>
      <c r="G50" s="71" t="s">
        <v>49</v>
      </c>
      <c r="H50"/>
    </row>
    <row r="51" spans="1:8">
      <c r="A51" s="84" t="s">
        <v>370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371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372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373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267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374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375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376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377</v>
      </c>
      <c r="B59" s="71">
        <v>7.5</v>
      </c>
      <c r="C59" s="71">
        <v>0.06</v>
      </c>
      <c r="D59" s="71">
        <v>100</v>
      </c>
      <c r="E59" s="71">
        <v>1</v>
      </c>
      <c r="F59" s="73" t="s">
        <v>112</v>
      </c>
      <c r="G59" s="71" t="s">
        <v>49</v>
      </c>
      <c r="H59"/>
    </row>
    <row r="60" spans="1:8">
      <c r="A60" s="84" t="s">
        <v>378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112</v>
      </c>
      <c r="H60"/>
    </row>
    <row r="61" spans="1:8">
      <c r="A61" s="84" t="s">
        <v>379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380</v>
      </c>
      <c r="B62" s="71">
        <v>5</v>
      </c>
      <c r="C62" s="71">
        <v>0.06</v>
      </c>
      <c r="D62" s="71">
        <v>10</v>
      </c>
      <c r="E62" s="71">
        <v>1</v>
      </c>
      <c r="F62" s="73" t="s">
        <v>112</v>
      </c>
      <c r="G62" s="71" t="s">
        <v>49</v>
      </c>
      <c r="H62"/>
    </row>
    <row r="63" spans="1:8">
      <c r="A63" s="84" t="s">
        <v>381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112</v>
      </c>
      <c r="H63"/>
    </row>
    <row r="64" spans="1:8">
      <c r="A64" s="84" t="s">
        <v>382</v>
      </c>
      <c r="B64" s="71">
        <v>5</v>
      </c>
      <c r="C64" s="71">
        <v>0.06</v>
      </c>
      <c r="D64" s="71">
        <v>5</v>
      </c>
      <c r="E64" s="71">
        <v>1</v>
      </c>
      <c r="F64" s="73" t="s">
        <v>112</v>
      </c>
      <c r="G64" s="71" t="s">
        <v>49</v>
      </c>
      <c r="H64"/>
    </row>
    <row r="65" spans="1:8">
      <c r="A65" s="84" t="s">
        <v>383</v>
      </c>
      <c r="B65" s="71">
        <v>5</v>
      </c>
      <c r="C65" s="71">
        <v>0.06</v>
      </c>
      <c r="D65" s="71">
        <v>30</v>
      </c>
      <c r="E65" s="71">
        <v>1</v>
      </c>
      <c r="F65" s="73" t="s">
        <v>112</v>
      </c>
      <c r="G65" s="71" t="s">
        <v>49</v>
      </c>
      <c r="H65"/>
    </row>
    <row r="66" spans="1:8">
      <c r="A66" s="84" t="s">
        <v>384</v>
      </c>
      <c r="B66" s="71">
        <v>5</v>
      </c>
      <c r="C66" s="71">
        <v>0.06</v>
      </c>
      <c r="D66" s="71">
        <v>60</v>
      </c>
      <c r="E66" s="71">
        <v>1</v>
      </c>
      <c r="F66" s="73" t="s">
        <v>112</v>
      </c>
      <c r="G66" s="71" t="s">
        <v>49</v>
      </c>
      <c r="H66"/>
    </row>
    <row r="67" spans="1:8">
      <c r="A67" s="84" t="s">
        <v>385</v>
      </c>
      <c r="B67" s="71">
        <v>5</v>
      </c>
      <c r="C67" s="71">
        <v>0.06</v>
      </c>
      <c r="D67" s="71">
        <v>150</v>
      </c>
      <c r="E67" s="71">
        <v>1</v>
      </c>
      <c r="F67" s="73" t="s">
        <v>112</v>
      </c>
      <c r="G67" s="71" t="s">
        <v>49</v>
      </c>
      <c r="H67"/>
    </row>
    <row r="68" spans="1:8">
      <c r="A68" s="84" t="s">
        <v>386</v>
      </c>
      <c r="B68" s="71">
        <v>5</v>
      </c>
      <c r="C68" s="71">
        <v>0.06</v>
      </c>
      <c r="D68" s="71">
        <v>70</v>
      </c>
      <c r="E68" s="71">
        <v>1</v>
      </c>
      <c r="F68" s="73" t="s">
        <v>112</v>
      </c>
      <c r="G68" s="71" t="s">
        <v>49</v>
      </c>
      <c r="H68"/>
    </row>
    <row r="69" spans="1:8">
      <c r="A69" s="84" t="s">
        <v>387</v>
      </c>
      <c r="B69" s="71">
        <v>5</v>
      </c>
      <c r="C69" s="71">
        <v>0.06</v>
      </c>
      <c r="D69" s="71">
        <v>50</v>
      </c>
      <c r="E69" s="71">
        <v>1</v>
      </c>
      <c r="F69" s="73" t="s">
        <v>112</v>
      </c>
      <c r="G69" s="71" t="s">
        <v>49</v>
      </c>
      <c r="H69"/>
    </row>
    <row r="70" spans="1:8">
      <c r="A70" s="84" t="s">
        <v>388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389</v>
      </c>
      <c r="B71" s="71">
        <v>5</v>
      </c>
      <c r="C71" s="71">
        <v>0.06</v>
      </c>
      <c r="D71" s="71">
        <v>150</v>
      </c>
      <c r="E71" s="71">
        <v>1</v>
      </c>
      <c r="F71" s="73" t="s">
        <v>112</v>
      </c>
      <c r="G71" s="71" t="s">
        <v>49</v>
      </c>
      <c r="H71"/>
    </row>
    <row r="72" spans="1:8">
      <c r="A72" s="84" t="s">
        <v>390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391</v>
      </c>
      <c r="B73" s="71">
        <v>7.5</v>
      </c>
      <c r="C73" s="71">
        <v>0.06</v>
      </c>
      <c r="D73" s="71">
        <v>40</v>
      </c>
      <c r="E73" s="71">
        <v>1</v>
      </c>
      <c r="F73" s="73" t="s">
        <v>112</v>
      </c>
      <c r="G73" s="71" t="s">
        <v>49</v>
      </c>
      <c r="H73"/>
    </row>
    <row r="74" spans="1:8">
      <c r="A74" s="84" t="s">
        <v>392</v>
      </c>
      <c r="B74" s="71">
        <v>5</v>
      </c>
      <c r="C74" s="71">
        <v>0.06</v>
      </c>
      <c r="D74" s="71">
        <v>120</v>
      </c>
      <c r="E74" s="71">
        <v>1</v>
      </c>
      <c r="F74" s="73" t="s">
        <v>112</v>
      </c>
      <c r="G74" s="71" t="s">
        <v>49</v>
      </c>
      <c r="H74"/>
    </row>
    <row r="75" spans="1:8">
      <c r="A75" s="84" t="s">
        <v>393</v>
      </c>
      <c r="B75" s="71">
        <v>0</v>
      </c>
      <c r="C75" s="71">
        <v>0.06</v>
      </c>
      <c r="D75" s="71">
        <v>0</v>
      </c>
      <c r="E75" s="71">
        <v>1</v>
      </c>
      <c r="F75" s="73" t="s">
        <v>112</v>
      </c>
      <c r="G75" s="71" t="s">
        <v>112</v>
      </c>
      <c r="H75"/>
    </row>
    <row r="76" spans="1:8">
      <c r="A76" s="84" t="s">
        <v>394</v>
      </c>
      <c r="B76" s="71">
        <v>7.5</v>
      </c>
      <c r="C76" s="71">
        <v>0.06</v>
      </c>
      <c r="D76" s="71">
        <v>25</v>
      </c>
      <c r="E76" s="71">
        <v>2</v>
      </c>
      <c r="F76" s="73" t="s">
        <v>112</v>
      </c>
      <c r="G76" s="71" t="s">
        <v>49</v>
      </c>
      <c r="H76"/>
    </row>
    <row r="77" spans="1:8">
      <c r="A77" s="84" t="s">
        <v>395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396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397</v>
      </c>
      <c r="B79" s="71">
        <v>7.5</v>
      </c>
      <c r="C79" s="71">
        <v>0.06</v>
      </c>
      <c r="D79" s="71">
        <v>40</v>
      </c>
      <c r="E79" s="71">
        <v>1</v>
      </c>
      <c r="F79" s="73" t="s">
        <v>112</v>
      </c>
      <c r="G79" s="71" t="s">
        <v>49</v>
      </c>
      <c r="H79"/>
    </row>
    <row r="80" spans="1:8">
      <c r="A80" s="84" t="s">
        <v>398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399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400</v>
      </c>
      <c r="B82" s="71">
        <v>7.5</v>
      </c>
      <c r="C82" s="71">
        <v>0.06</v>
      </c>
      <c r="D82" s="71">
        <v>8</v>
      </c>
      <c r="E82" s="71">
        <v>1</v>
      </c>
      <c r="F82" s="73" t="s">
        <v>112</v>
      </c>
      <c r="G82" s="71" t="s">
        <v>49</v>
      </c>
      <c r="H82"/>
    </row>
    <row r="83" spans="1:8">
      <c r="A83" s="84" t="s">
        <v>401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402</v>
      </c>
      <c r="B84" s="71">
        <v>20</v>
      </c>
      <c r="C84" s="71">
        <v>0.06</v>
      </c>
      <c r="D84" s="71">
        <v>100</v>
      </c>
      <c r="E84" s="71">
        <v>2</v>
      </c>
      <c r="F84" s="73" t="s">
        <v>112</v>
      </c>
      <c r="G84" s="71" t="s">
        <v>49</v>
      </c>
      <c r="H84"/>
    </row>
    <row r="85" spans="1:8">
      <c r="A85" s="84" t="s">
        <v>403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404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405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406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407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408</v>
      </c>
      <c r="B90" s="71">
        <v>7.5</v>
      </c>
      <c r="C90" s="71">
        <v>0.06</v>
      </c>
      <c r="D90" s="71">
        <v>150</v>
      </c>
      <c r="E90" s="71">
        <v>1</v>
      </c>
      <c r="F90" s="73" t="s">
        <v>112</v>
      </c>
      <c r="G90" s="71" t="s">
        <v>49</v>
      </c>
      <c r="H90"/>
    </row>
    <row r="91" spans="1:8">
      <c r="A91" s="84" t="s">
        <v>409</v>
      </c>
      <c r="B91" s="71">
        <v>10</v>
      </c>
      <c r="C91" s="71">
        <v>0.06</v>
      </c>
      <c r="D91" s="71">
        <v>70</v>
      </c>
      <c r="E91" s="71">
        <v>1</v>
      </c>
      <c r="F91" s="73" t="s">
        <v>112</v>
      </c>
      <c r="G91" s="71" t="s">
        <v>49</v>
      </c>
      <c r="H91"/>
    </row>
    <row r="92" spans="1:8">
      <c r="A92" s="71" t="s">
        <v>48</v>
      </c>
      <c r="B92" s="71" t="s">
        <v>410</v>
      </c>
      <c r="C92" s="71" t="s">
        <v>410</v>
      </c>
      <c r="D92" s="71" t="s">
        <v>410</v>
      </c>
      <c r="E92" s="71" t="s">
        <v>410</v>
      </c>
      <c r="F92" s="71" t="s">
        <v>410</v>
      </c>
      <c r="G92" s="71" t="s">
        <v>410</v>
      </c>
      <c r="H92"/>
    </row>
    <row r="93" spans="1:8">
      <c r="A93" s="84" t="s">
        <v>411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412</v>
      </c>
      <c r="B1" s="145" t="s">
        <v>413</v>
      </c>
      <c r="C1" s="146" t="s">
        <v>414</v>
      </c>
      <c r="D1" s="145" t="s">
        <v>415</v>
      </c>
      <c r="E1" s="145" t="s">
        <v>416</v>
      </c>
      <c r="F1" s="145" t="s">
        <v>417</v>
      </c>
      <c r="G1" s="54" t="s">
        <v>418</v>
      </c>
      <c r="H1" s="147" t="s">
        <v>419</v>
      </c>
      <c r="I1" s="55" t="s">
        <v>420</v>
      </c>
      <c r="J1" s="146" t="s">
        <v>421</v>
      </c>
      <c r="K1" s="12"/>
    </row>
    <row r="2" spans="1:13">
      <c r="A2" s="56" t="s">
        <v>422</v>
      </c>
      <c r="B2" s="57" t="s">
        <v>423</v>
      </c>
      <c r="C2" s="58" t="s">
        <v>424</v>
      </c>
      <c r="D2" s="59">
        <v>10</v>
      </c>
      <c r="E2" s="57" t="s">
        <v>425</v>
      </c>
      <c r="F2" s="57" t="s">
        <v>426</v>
      </c>
      <c r="G2" s="60" t="s">
        <v>424</v>
      </c>
      <c r="H2" s="148" t="s">
        <v>424</v>
      </c>
      <c r="I2" s="148" t="s">
        <v>424</v>
      </c>
      <c r="J2" s="61" t="s">
        <v>427</v>
      </c>
      <c r="K2" s="12"/>
      <c r="M2" s="12"/>
    </row>
    <row r="3" spans="1:13">
      <c r="A3" s="149" t="s">
        <v>428</v>
      </c>
      <c r="B3" s="150" t="s">
        <v>429</v>
      </c>
      <c r="C3" s="151">
        <v>2</v>
      </c>
      <c r="D3" s="152">
        <v>12</v>
      </c>
      <c r="E3" s="150" t="s">
        <v>425</v>
      </c>
      <c r="F3" s="150" t="s">
        <v>426</v>
      </c>
      <c r="G3" s="153" t="s">
        <v>430</v>
      </c>
      <c r="H3" s="148">
        <v>70</v>
      </c>
      <c r="I3" s="154">
        <v>75</v>
      </c>
      <c r="J3" s="148" t="s">
        <v>427</v>
      </c>
      <c r="K3" s="12"/>
      <c r="M3" s="12"/>
    </row>
    <row r="4" spans="1:13">
      <c r="A4" s="149" t="s">
        <v>431</v>
      </c>
      <c r="B4" s="150" t="s">
        <v>429</v>
      </c>
      <c r="C4" s="151">
        <v>2</v>
      </c>
      <c r="D4" s="152">
        <v>12</v>
      </c>
      <c r="E4" s="150" t="s">
        <v>425</v>
      </c>
      <c r="F4" s="150" t="s">
        <v>426</v>
      </c>
      <c r="G4" s="153" t="s">
        <v>424</v>
      </c>
      <c r="H4" s="148" t="s">
        <v>424</v>
      </c>
      <c r="I4" s="148" t="s">
        <v>424</v>
      </c>
      <c r="J4" s="148"/>
      <c r="K4" s="12"/>
      <c r="M4" s="12"/>
    </row>
    <row r="5" spans="1:13">
      <c r="A5" s="149" t="s">
        <v>432</v>
      </c>
      <c r="B5" s="150" t="s">
        <v>433</v>
      </c>
      <c r="C5" s="151">
        <v>3</v>
      </c>
      <c r="D5" s="152">
        <v>15</v>
      </c>
      <c r="E5" s="150" t="s">
        <v>424</v>
      </c>
      <c r="F5" s="150" t="s">
        <v>424</v>
      </c>
      <c r="G5" s="153" t="s">
        <v>430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429</v>
      </c>
      <c r="C6" s="151" t="s">
        <v>424</v>
      </c>
      <c r="D6" s="152">
        <v>10</v>
      </c>
      <c r="E6" s="150" t="s">
        <v>425</v>
      </c>
      <c r="F6" s="150" t="s">
        <v>426</v>
      </c>
      <c r="G6" s="153" t="s">
        <v>424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434</v>
      </c>
      <c r="B7" s="150" t="s">
        <v>429</v>
      </c>
      <c r="C7" s="151" t="s">
        <v>424</v>
      </c>
      <c r="D7" s="152">
        <v>10</v>
      </c>
      <c r="E7" s="150" t="s">
        <v>425</v>
      </c>
      <c r="F7" s="150" t="s">
        <v>426</v>
      </c>
      <c r="G7" s="153" t="s">
        <v>424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435</v>
      </c>
      <c r="B8" s="150" t="s">
        <v>429</v>
      </c>
      <c r="C8" s="151" t="s">
        <v>424</v>
      </c>
      <c r="D8" s="152">
        <v>10</v>
      </c>
      <c r="E8" s="150" t="s">
        <v>425</v>
      </c>
      <c r="F8" s="150" t="s">
        <v>426</v>
      </c>
      <c r="G8" s="153" t="s">
        <v>424</v>
      </c>
      <c r="H8" s="148" t="s">
        <v>424</v>
      </c>
      <c r="I8" s="148" t="s">
        <v>424</v>
      </c>
      <c r="J8" s="62"/>
      <c r="K8" s="12"/>
      <c r="M8" s="12"/>
    </row>
    <row r="9" spans="1:13">
      <c r="A9" s="149" t="s">
        <v>71</v>
      </c>
      <c r="B9" s="150" t="s">
        <v>424</v>
      </c>
      <c r="C9" s="151">
        <v>2</v>
      </c>
      <c r="D9" s="152">
        <v>6</v>
      </c>
      <c r="E9" s="150" t="s">
        <v>424</v>
      </c>
      <c r="F9" s="150" t="s">
        <v>424</v>
      </c>
      <c r="G9" s="153" t="s">
        <v>424</v>
      </c>
      <c r="H9" s="148" t="s">
        <v>424</v>
      </c>
      <c r="I9" s="148" t="s">
        <v>424</v>
      </c>
      <c r="J9" s="149"/>
      <c r="K9" s="12"/>
      <c r="M9" s="12"/>
    </row>
    <row r="10" spans="1:13">
      <c r="A10" s="149" t="s">
        <v>436</v>
      </c>
      <c r="B10" s="150" t="s">
        <v>424</v>
      </c>
      <c r="C10" s="151">
        <v>2</v>
      </c>
      <c r="D10" s="152">
        <v>6</v>
      </c>
      <c r="E10" s="150" t="s">
        <v>424</v>
      </c>
      <c r="F10" s="150" t="s">
        <v>424</v>
      </c>
      <c r="G10" s="153" t="s">
        <v>424</v>
      </c>
      <c r="H10" s="148" t="s">
        <v>424</v>
      </c>
      <c r="I10" s="148" t="s">
        <v>424</v>
      </c>
      <c r="J10" s="149"/>
      <c r="M10" s="12"/>
    </row>
    <row r="11" spans="1:13">
      <c r="A11" s="149" t="s">
        <v>437</v>
      </c>
      <c r="B11" s="150" t="s">
        <v>429</v>
      </c>
      <c r="C11" s="151">
        <v>2</v>
      </c>
      <c r="D11" s="152">
        <v>12</v>
      </c>
      <c r="E11" s="150" t="s">
        <v>425</v>
      </c>
      <c r="F11" s="150" t="s">
        <v>426</v>
      </c>
      <c r="G11" s="153" t="s">
        <v>424</v>
      </c>
      <c r="H11" s="148">
        <v>68</v>
      </c>
      <c r="I11" s="154">
        <v>73</v>
      </c>
      <c r="J11" s="148" t="s">
        <v>438</v>
      </c>
      <c r="M11" s="12"/>
    </row>
    <row r="12" spans="1:13">
      <c r="A12" s="149" t="s">
        <v>439</v>
      </c>
      <c r="B12" s="150" t="s">
        <v>433</v>
      </c>
      <c r="C12" s="151">
        <v>3</v>
      </c>
      <c r="D12" s="152">
        <v>15</v>
      </c>
      <c r="E12" s="150" t="s">
        <v>424</v>
      </c>
      <c r="F12" s="150" t="s">
        <v>426</v>
      </c>
      <c r="G12" s="153" t="s">
        <v>430</v>
      </c>
      <c r="H12" s="148">
        <v>70</v>
      </c>
      <c r="I12" s="154">
        <v>75</v>
      </c>
      <c r="J12" s="149"/>
      <c r="M12" s="12"/>
    </row>
    <row r="13" spans="1:13">
      <c r="A13" s="149" t="s">
        <v>440</v>
      </c>
      <c r="B13" s="150" t="s">
        <v>433</v>
      </c>
      <c r="C13" s="151" t="s">
        <v>424</v>
      </c>
      <c r="D13" s="152">
        <v>2</v>
      </c>
      <c r="E13" s="150" t="s">
        <v>424</v>
      </c>
      <c r="F13" s="150" t="s">
        <v>424</v>
      </c>
      <c r="G13" s="153" t="s">
        <v>424</v>
      </c>
      <c r="H13" s="148">
        <v>72</v>
      </c>
      <c r="I13" s="154">
        <v>78</v>
      </c>
      <c r="J13" s="149"/>
      <c r="M13" s="12"/>
    </row>
    <row r="14" spans="1:13">
      <c r="A14" s="149" t="s">
        <v>441</v>
      </c>
      <c r="B14" s="150" t="s">
        <v>433</v>
      </c>
      <c r="C14" s="151">
        <v>2</v>
      </c>
      <c r="D14" s="152">
        <v>4</v>
      </c>
      <c r="E14" s="150" t="s">
        <v>424</v>
      </c>
      <c r="F14" s="150" t="s">
        <v>426</v>
      </c>
      <c r="G14" s="153" t="s">
        <v>430</v>
      </c>
      <c r="H14" s="148">
        <v>72</v>
      </c>
      <c r="I14" s="154">
        <v>78</v>
      </c>
      <c r="J14" s="149"/>
      <c r="M14" s="12"/>
    </row>
    <row r="15" spans="1:13">
      <c r="A15" s="149" t="s">
        <v>442</v>
      </c>
      <c r="B15" s="150" t="s">
        <v>433</v>
      </c>
      <c r="C15" s="151">
        <v>2</v>
      </c>
      <c r="D15" s="152">
        <v>4</v>
      </c>
      <c r="E15" s="150" t="s">
        <v>424</v>
      </c>
      <c r="F15" s="150" t="s">
        <v>424</v>
      </c>
      <c r="G15" s="153" t="s">
        <v>424</v>
      </c>
      <c r="H15" s="148" t="s">
        <v>424</v>
      </c>
      <c r="I15" s="148" t="s">
        <v>424</v>
      </c>
      <c r="J15" s="149"/>
      <c r="M15" s="12"/>
    </row>
    <row r="16" spans="1:13">
      <c r="A16" s="149" t="s">
        <v>443</v>
      </c>
      <c r="B16" s="150" t="s">
        <v>424</v>
      </c>
      <c r="C16" s="151">
        <v>2</v>
      </c>
      <c r="D16" s="152">
        <v>6</v>
      </c>
      <c r="E16" s="150" t="s">
        <v>424</v>
      </c>
      <c r="F16" s="150" t="s">
        <v>426</v>
      </c>
      <c r="G16" s="153" t="s">
        <v>444</v>
      </c>
      <c r="H16" s="148">
        <v>70</v>
      </c>
      <c r="I16" s="154">
        <v>75</v>
      </c>
      <c r="J16" s="149"/>
      <c r="M16" s="12"/>
    </row>
    <row r="17" spans="1:13">
      <c r="A17" s="149" t="s">
        <v>445</v>
      </c>
      <c r="B17" s="150" t="s">
        <v>424</v>
      </c>
      <c r="C17" s="151">
        <v>2</v>
      </c>
      <c r="D17" s="152">
        <v>6</v>
      </c>
      <c r="E17" s="150" t="s">
        <v>424</v>
      </c>
      <c r="F17" s="150" t="s">
        <v>424</v>
      </c>
      <c r="G17" s="153" t="s">
        <v>430</v>
      </c>
      <c r="H17" s="148" t="s">
        <v>424</v>
      </c>
      <c r="I17" s="148" t="s">
        <v>424</v>
      </c>
      <c r="J17" s="148"/>
      <c r="M17" s="12"/>
    </row>
    <row r="18" spans="1:13">
      <c r="A18" s="149" t="s">
        <v>446</v>
      </c>
      <c r="B18" s="150" t="s">
        <v>429</v>
      </c>
      <c r="C18" s="151">
        <v>2</v>
      </c>
      <c r="D18" s="152">
        <v>10</v>
      </c>
      <c r="E18" s="150" t="s">
        <v>425</v>
      </c>
      <c r="F18" s="150" t="s">
        <v>426</v>
      </c>
      <c r="G18" s="153" t="s">
        <v>424</v>
      </c>
      <c r="H18" s="148" t="s">
        <v>424</v>
      </c>
      <c r="I18" s="148" t="s">
        <v>424</v>
      </c>
      <c r="J18" s="148" t="s">
        <v>447</v>
      </c>
      <c r="M18" s="12"/>
    </row>
    <row r="19" spans="1:13">
      <c r="A19" s="149" t="s">
        <v>448</v>
      </c>
      <c r="B19" s="150" t="s">
        <v>433</v>
      </c>
      <c r="C19" s="151">
        <v>4</v>
      </c>
      <c r="D19" s="152">
        <v>20</v>
      </c>
      <c r="E19" s="150" t="s">
        <v>424</v>
      </c>
      <c r="F19" s="150" t="s">
        <v>426</v>
      </c>
      <c r="G19" s="153" t="s">
        <v>449</v>
      </c>
      <c r="H19" s="148">
        <v>68</v>
      </c>
      <c r="I19" s="154">
        <v>75</v>
      </c>
      <c r="J19" s="148" t="s">
        <v>450</v>
      </c>
      <c r="M19" s="12"/>
    </row>
    <row r="20" spans="1:13">
      <c r="A20" s="149" t="s">
        <v>451</v>
      </c>
      <c r="B20" s="150" t="s">
        <v>424</v>
      </c>
      <c r="C20" s="151">
        <v>2</v>
      </c>
      <c r="D20" s="152">
        <v>6</v>
      </c>
      <c r="E20" s="150" t="s">
        <v>424</v>
      </c>
      <c r="F20" s="150" t="s">
        <v>424</v>
      </c>
      <c r="G20" s="153" t="s">
        <v>424</v>
      </c>
      <c r="H20" s="148">
        <v>72</v>
      </c>
      <c r="I20" s="154">
        <v>78</v>
      </c>
      <c r="J20" s="148"/>
      <c r="M20" s="12"/>
    </row>
    <row r="21" spans="1:13">
      <c r="A21" s="149" t="s">
        <v>452</v>
      </c>
      <c r="B21" s="150" t="s">
        <v>429</v>
      </c>
      <c r="C21" s="151" t="s">
        <v>424</v>
      </c>
      <c r="D21" s="152">
        <v>10</v>
      </c>
      <c r="E21" s="150" t="s">
        <v>425</v>
      </c>
      <c r="F21" s="150" t="s">
        <v>426</v>
      </c>
      <c r="G21" s="153" t="s">
        <v>424</v>
      </c>
      <c r="H21" s="148" t="s">
        <v>424</v>
      </c>
      <c r="I21" s="148" t="s">
        <v>424</v>
      </c>
      <c r="J21" s="148"/>
      <c r="M21" s="12"/>
    </row>
    <row r="22" spans="1:13">
      <c r="A22" s="149" t="s">
        <v>453</v>
      </c>
      <c r="B22" s="150" t="s">
        <v>424</v>
      </c>
      <c r="C22" s="151" t="s">
        <v>424</v>
      </c>
      <c r="D22" s="152">
        <v>2</v>
      </c>
      <c r="E22" s="150" t="s">
        <v>424</v>
      </c>
      <c r="F22" s="150" t="s">
        <v>426</v>
      </c>
      <c r="G22" s="153" t="s">
        <v>424</v>
      </c>
      <c r="H22" s="148">
        <v>72</v>
      </c>
      <c r="I22" s="154">
        <v>78</v>
      </c>
      <c r="J22" s="148"/>
      <c r="M22" s="12"/>
    </row>
    <row r="23" spans="1:13">
      <c r="A23" s="149" t="s">
        <v>454</v>
      </c>
      <c r="B23" s="150" t="s">
        <v>455</v>
      </c>
      <c r="C23" s="151">
        <v>3</v>
      </c>
      <c r="D23" s="152">
        <v>15</v>
      </c>
      <c r="E23" s="150" t="s">
        <v>424</v>
      </c>
      <c r="F23" s="150" t="s">
        <v>424</v>
      </c>
      <c r="G23" s="153" t="s">
        <v>424</v>
      </c>
      <c r="H23" s="148" t="s">
        <v>424</v>
      </c>
      <c r="I23" s="148" t="s">
        <v>424</v>
      </c>
      <c r="J23" s="148"/>
      <c r="M23" s="12"/>
    </row>
    <row r="24" spans="1:13">
      <c r="A24" s="149" t="s">
        <v>456</v>
      </c>
      <c r="B24" s="150" t="s">
        <v>424</v>
      </c>
      <c r="C24" s="151">
        <v>2</v>
      </c>
      <c r="D24" s="152">
        <v>6</v>
      </c>
      <c r="E24" s="150" t="s">
        <v>424</v>
      </c>
      <c r="F24" s="150" t="s">
        <v>424</v>
      </c>
      <c r="G24" s="153" t="s">
        <v>430</v>
      </c>
      <c r="H24" s="148">
        <v>70</v>
      </c>
      <c r="I24" s="154">
        <v>75</v>
      </c>
      <c r="J24" s="148" t="s">
        <v>455</v>
      </c>
      <c r="M24" s="12"/>
    </row>
    <row r="25" spans="1:13">
      <c r="A25" s="149" t="s">
        <v>457</v>
      </c>
      <c r="B25" s="150" t="s">
        <v>429</v>
      </c>
      <c r="C25" s="151">
        <v>2</v>
      </c>
      <c r="D25" s="152">
        <v>10</v>
      </c>
      <c r="E25" s="150" t="s">
        <v>425</v>
      </c>
      <c r="F25" s="150" t="s">
        <v>426</v>
      </c>
      <c r="G25" s="153" t="s">
        <v>424</v>
      </c>
      <c r="H25" s="148" t="s">
        <v>424</v>
      </c>
      <c r="I25" s="148" t="s">
        <v>424</v>
      </c>
      <c r="J25" s="148"/>
      <c r="M25" s="12"/>
    </row>
    <row r="26" spans="1:13">
      <c r="A26" s="149" t="s">
        <v>458</v>
      </c>
      <c r="B26" s="150" t="s">
        <v>429</v>
      </c>
      <c r="C26" s="151">
        <v>2</v>
      </c>
      <c r="D26" s="152">
        <v>12</v>
      </c>
      <c r="E26" s="150" t="s">
        <v>425</v>
      </c>
      <c r="F26" s="150" t="s">
        <v>426</v>
      </c>
      <c r="G26" s="153" t="s">
        <v>424</v>
      </c>
      <c r="H26" s="148" t="s">
        <v>424</v>
      </c>
      <c r="I26" s="148" t="s">
        <v>424</v>
      </c>
      <c r="J26" s="148"/>
      <c r="M26" s="12"/>
    </row>
    <row r="27" spans="1:13">
      <c r="A27" s="149" t="s">
        <v>459</v>
      </c>
      <c r="B27" s="150" t="s">
        <v>429</v>
      </c>
      <c r="C27" s="151">
        <v>2</v>
      </c>
      <c r="D27" s="152">
        <v>12</v>
      </c>
      <c r="E27" s="150" t="s">
        <v>425</v>
      </c>
      <c r="F27" s="150" t="s">
        <v>424</v>
      </c>
      <c r="G27" s="153" t="s">
        <v>460</v>
      </c>
      <c r="H27" s="148">
        <v>70</v>
      </c>
      <c r="I27" s="154">
        <v>75</v>
      </c>
      <c r="J27" s="148" t="s">
        <v>461</v>
      </c>
      <c r="M27" s="12"/>
    </row>
    <row r="28" spans="1:13">
      <c r="A28" s="149" t="s">
        <v>462</v>
      </c>
      <c r="B28" s="150" t="s">
        <v>424</v>
      </c>
      <c r="C28" s="151">
        <v>2</v>
      </c>
      <c r="D28" s="152">
        <v>6</v>
      </c>
      <c r="E28" s="150" t="s">
        <v>424</v>
      </c>
      <c r="F28" s="150" t="s">
        <v>424</v>
      </c>
      <c r="G28" s="153" t="s">
        <v>430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424</v>
      </c>
      <c r="C29" s="151">
        <v>2</v>
      </c>
      <c r="D29" s="152">
        <v>6</v>
      </c>
      <c r="E29" s="150" t="s">
        <v>424</v>
      </c>
      <c r="F29" s="150" t="s">
        <v>424</v>
      </c>
      <c r="G29" s="153" t="s">
        <v>424</v>
      </c>
      <c r="H29" s="148" t="s">
        <v>424</v>
      </c>
      <c r="I29" s="148" t="s">
        <v>424</v>
      </c>
      <c r="J29" s="148"/>
      <c r="M29" s="12"/>
    </row>
    <row r="30" spans="1:13">
      <c r="A30" s="149" t="s">
        <v>463</v>
      </c>
      <c r="B30" s="150" t="s">
        <v>429</v>
      </c>
      <c r="C30" s="151">
        <v>2</v>
      </c>
      <c r="D30" s="152">
        <v>6</v>
      </c>
      <c r="E30" s="150" t="s">
        <v>425</v>
      </c>
      <c r="F30" s="150" t="s">
        <v>426</v>
      </c>
      <c r="G30" s="153" t="s">
        <v>424</v>
      </c>
      <c r="H30" s="148" t="s">
        <v>424</v>
      </c>
      <c r="I30" s="148" t="s">
        <v>424</v>
      </c>
      <c r="J30" s="148"/>
      <c r="M30" s="12"/>
    </row>
    <row r="31" spans="1:13">
      <c r="A31" s="149" t="s">
        <v>464</v>
      </c>
      <c r="B31" s="150" t="s">
        <v>424</v>
      </c>
      <c r="C31" s="151">
        <v>2</v>
      </c>
      <c r="D31" s="152">
        <v>10</v>
      </c>
      <c r="E31" s="150" t="s">
        <v>424</v>
      </c>
      <c r="F31" s="150" t="s">
        <v>426</v>
      </c>
      <c r="G31" s="153" t="s">
        <v>424</v>
      </c>
      <c r="H31" s="148">
        <v>72</v>
      </c>
      <c r="I31" s="154">
        <v>78</v>
      </c>
      <c r="J31" s="148" t="s">
        <v>465</v>
      </c>
      <c r="M31" s="12"/>
    </row>
    <row r="32" spans="1:13">
      <c r="A32" s="149" t="s">
        <v>466</v>
      </c>
      <c r="B32" s="150" t="s">
        <v>424</v>
      </c>
      <c r="C32" s="151">
        <v>2</v>
      </c>
      <c r="D32" s="152">
        <v>6</v>
      </c>
      <c r="E32" s="150" t="s">
        <v>424</v>
      </c>
      <c r="F32" s="150" t="s">
        <v>426</v>
      </c>
      <c r="G32" s="153" t="s">
        <v>449</v>
      </c>
      <c r="H32" s="148">
        <v>68</v>
      </c>
      <c r="I32" s="154">
        <v>73</v>
      </c>
      <c r="J32" s="148" t="s">
        <v>467</v>
      </c>
      <c r="M32" s="12"/>
    </row>
    <row r="33" spans="1:13">
      <c r="A33" s="149" t="s">
        <v>468</v>
      </c>
      <c r="B33" s="150" t="s">
        <v>429</v>
      </c>
      <c r="C33" s="151">
        <v>2</v>
      </c>
      <c r="D33" s="152">
        <v>10</v>
      </c>
      <c r="E33" s="150" t="s">
        <v>425</v>
      </c>
      <c r="F33" s="150" t="s">
        <v>426</v>
      </c>
      <c r="G33" s="153" t="s">
        <v>424</v>
      </c>
      <c r="H33" s="148" t="s">
        <v>424</v>
      </c>
      <c r="I33" s="148" t="s">
        <v>424</v>
      </c>
      <c r="J33" s="148"/>
      <c r="M33" s="12"/>
    </row>
    <row r="34" spans="1:13">
      <c r="A34" s="149" t="s">
        <v>469</v>
      </c>
      <c r="B34" s="150" t="s">
        <v>429</v>
      </c>
      <c r="C34" s="151">
        <v>2</v>
      </c>
      <c r="D34" s="152">
        <v>6</v>
      </c>
      <c r="E34" s="150" t="s">
        <v>424</v>
      </c>
      <c r="F34" s="150" t="s">
        <v>424</v>
      </c>
      <c r="G34" s="153" t="s">
        <v>424</v>
      </c>
      <c r="H34" s="148">
        <v>72</v>
      </c>
      <c r="I34" s="154">
        <v>80</v>
      </c>
      <c r="J34" s="148"/>
      <c r="M34" s="12"/>
    </row>
    <row r="35" spans="1:13">
      <c r="A35" s="149" t="s">
        <v>470</v>
      </c>
      <c r="B35" s="150" t="s">
        <v>433</v>
      </c>
      <c r="C35" s="151">
        <v>2</v>
      </c>
      <c r="D35" s="152">
        <v>6</v>
      </c>
      <c r="E35" s="150" t="s">
        <v>424</v>
      </c>
      <c r="F35" s="150" t="s">
        <v>424</v>
      </c>
      <c r="G35" s="153" t="s">
        <v>424</v>
      </c>
      <c r="H35" s="148" t="s">
        <v>424</v>
      </c>
      <c r="I35" s="148" t="s">
        <v>424</v>
      </c>
      <c r="J35" s="148"/>
      <c r="M35" s="12"/>
    </row>
    <row r="36" spans="1:13">
      <c r="A36" s="149" t="s">
        <v>471</v>
      </c>
      <c r="B36" s="150" t="s">
        <v>424</v>
      </c>
      <c r="C36" s="151">
        <v>2</v>
      </c>
      <c r="D36" s="152">
        <v>6</v>
      </c>
      <c r="E36" s="150" t="s">
        <v>424</v>
      </c>
      <c r="F36" s="150" t="s">
        <v>424</v>
      </c>
      <c r="G36" s="153" t="s">
        <v>430</v>
      </c>
      <c r="H36" s="148">
        <v>70</v>
      </c>
      <c r="I36" s="154">
        <v>75</v>
      </c>
      <c r="J36" s="148" t="s">
        <v>472</v>
      </c>
      <c r="M36" s="12"/>
    </row>
    <row r="37" spans="1:13">
      <c r="A37" s="149" t="s">
        <v>473</v>
      </c>
      <c r="B37" s="150" t="s">
        <v>433</v>
      </c>
      <c r="C37" s="151">
        <v>5</v>
      </c>
      <c r="D37" s="152">
        <v>15</v>
      </c>
      <c r="E37" s="150" t="s">
        <v>424</v>
      </c>
      <c r="F37" s="150" t="s">
        <v>424</v>
      </c>
      <c r="G37" s="153" t="s">
        <v>424</v>
      </c>
      <c r="H37" s="148" t="s">
        <v>424</v>
      </c>
      <c r="I37" s="148" t="s">
        <v>424</v>
      </c>
      <c r="J37" s="148"/>
      <c r="M37" s="12"/>
    </row>
    <row r="38" spans="1:13">
      <c r="A38" s="149" t="s">
        <v>474</v>
      </c>
      <c r="B38" s="150" t="s">
        <v>433</v>
      </c>
      <c r="C38" s="151">
        <v>2</v>
      </c>
      <c r="D38" s="152">
        <v>6</v>
      </c>
      <c r="E38" s="150" t="s">
        <v>424</v>
      </c>
      <c r="F38" s="150" t="s">
        <v>424</v>
      </c>
      <c r="G38" s="153" t="s">
        <v>424</v>
      </c>
      <c r="H38" s="148" t="s">
        <v>424</v>
      </c>
      <c r="I38" s="148" t="s">
        <v>424</v>
      </c>
      <c r="J38" s="148"/>
      <c r="M38" s="12"/>
    </row>
    <row r="39" spans="1:13">
      <c r="A39" s="149" t="s">
        <v>475</v>
      </c>
      <c r="B39" s="150" t="s">
        <v>429</v>
      </c>
      <c r="C39" s="151" t="s">
        <v>424</v>
      </c>
      <c r="D39" s="152">
        <v>10</v>
      </c>
      <c r="E39" s="150" t="s">
        <v>425</v>
      </c>
      <c r="F39" s="150" t="s">
        <v>426</v>
      </c>
      <c r="G39" s="153" t="s">
        <v>424</v>
      </c>
      <c r="H39" s="148" t="s">
        <v>424</v>
      </c>
      <c r="I39" s="148" t="s">
        <v>424</v>
      </c>
      <c r="J39" s="148"/>
      <c r="M39" s="12"/>
    </row>
    <row r="40" spans="1:13">
      <c r="A40" s="149" t="s">
        <v>476</v>
      </c>
      <c r="B40" s="150" t="s">
        <v>424</v>
      </c>
      <c r="C40" s="151">
        <v>2</v>
      </c>
      <c r="D40" s="152">
        <v>6</v>
      </c>
      <c r="E40" s="150" t="s">
        <v>424</v>
      </c>
      <c r="F40" s="150" t="s">
        <v>424</v>
      </c>
      <c r="G40" s="153" t="s">
        <v>430</v>
      </c>
      <c r="H40" s="148">
        <v>70</v>
      </c>
      <c r="I40" s="154">
        <v>75</v>
      </c>
      <c r="J40" s="148" t="s">
        <v>472</v>
      </c>
      <c r="M40" s="12"/>
    </row>
    <row r="41" spans="1:13">
      <c r="A41" s="149" t="s">
        <v>477</v>
      </c>
      <c r="B41" s="150" t="s">
        <v>424</v>
      </c>
      <c r="C41" s="151">
        <v>2</v>
      </c>
      <c r="D41" s="152">
        <v>6</v>
      </c>
      <c r="E41" s="150" t="s">
        <v>424</v>
      </c>
      <c r="F41" s="150" t="s">
        <v>424</v>
      </c>
      <c r="G41" s="153" t="s">
        <v>430</v>
      </c>
      <c r="H41" s="148">
        <v>70</v>
      </c>
      <c r="I41" s="154">
        <v>75</v>
      </c>
      <c r="J41" s="148" t="s">
        <v>472</v>
      </c>
      <c r="M41" s="12"/>
    </row>
    <row r="42" spans="1:13">
      <c r="A42" s="149" t="s">
        <v>478</v>
      </c>
      <c r="B42" s="150" t="s">
        <v>429</v>
      </c>
      <c r="C42" s="151">
        <v>2</v>
      </c>
      <c r="D42" s="152">
        <v>6</v>
      </c>
      <c r="E42" s="150" t="s">
        <v>425</v>
      </c>
      <c r="F42" s="150" t="s">
        <v>424</v>
      </c>
      <c r="G42" s="153" t="s">
        <v>424</v>
      </c>
      <c r="H42" s="148">
        <v>70</v>
      </c>
      <c r="I42" s="154">
        <v>75</v>
      </c>
      <c r="J42" s="148" t="s">
        <v>479</v>
      </c>
      <c r="M42" s="12"/>
    </row>
    <row r="43" spans="1:13">
      <c r="A43" s="149" t="s">
        <v>480</v>
      </c>
      <c r="B43" s="150" t="s">
        <v>429</v>
      </c>
      <c r="C43" s="151">
        <v>2</v>
      </c>
      <c r="D43" s="152">
        <v>6</v>
      </c>
      <c r="E43" s="150" t="s">
        <v>425</v>
      </c>
      <c r="F43" s="150" t="s">
        <v>424</v>
      </c>
      <c r="G43" s="153" t="s">
        <v>424</v>
      </c>
      <c r="H43" s="148">
        <v>70</v>
      </c>
      <c r="I43" s="154">
        <v>75</v>
      </c>
      <c r="J43" s="148" t="s">
        <v>479</v>
      </c>
      <c r="M43" s="12"/>
    </row>
    <row r="44" spans="1:13">
      <c r="A44" s="149" t="s">
        <v>481</v>
      </c>
      <c r="B44" s="150" t="s">
        <v>429</v>
      </c>
      <c r="C44" s="151">
        <v>2</v>
      </c>
      <c r="D44" s="152">
        <v>6</v>
      </c>
      <c r="E44" s="150" t="s">
        <v>425</v>
      </c>
      <c r="F44" s="150" t="s">
        <v>424</v>
      </c>
      <c r="G44" s="153" t="s">
        <v>424</v>
      </c>
      <c r="H44" s="148">
        <v>70</v>
      </c>
      <c r="I44" s="154">
        <v>75</v>
      </c>
      <c r="J44" s="148" t="s">
        <v>479</v>
      </c>
      <c r="M44" s="12"/>
    </row>
    <row r="45" spans="1:13">
      <c r="A45" s="149" t="s">
        <v>482</v>
      </c>
      <c r="B45" s="150" t="s">
        <v>429</v>
      </c>
      <c r="C45" s="151">
        <v>2</v>
      </c>
      <c r="D45" s="152">
        <v>6</v>
      </c>
      <c r="E45" s="150" t="s">
        <v>424</v>
      </c>
      <c r="F45" s="150" t="s">
        <v>424</v>
      </c>
      <c r="G45" s="153" t="s">
        <v>424</v>
      </c>
      <c r="H45" s="148">
        <v>70</v>
      </c>
      <c r="I45" s="154">
        <v>75</v>
      </c>
      <c r="J45" s="148" t="s">
        <v>479</v>
      </c>
      <c r="M45" s="12"/>
    </row>
    <row r="46" spans="1:13">
      <c r="A46" s="149" t="s">
        <v>483</v>
      </c>
      <c r="B46" s="150" t="s">
        <v>429</v>
      </c>
      <c r="C46" s="151">
        <v>2</v>
      </c>
      <c r="D46" s="152">
        <v>10</v>
      </c>
      <c r="E46" s="150" t="s">
        <v>425</v>
      </c>
      <c r="F46" s="150" t="s">
        <v>424</v>
      </c>
      <c r="G46" s="153" t="s">
        <v>424</v>
      </c>
      <c r="H46" s="148" t="s">
        <v>424</v>
      </c>
      <c r="I46" s="148" t="s">
        <v>424</v>
      </c>
      <c r="J46" s="148" t="s">
        <v>479</v>
      </c>
      <c r="M46" s="12"/>
    </row>
    <row r="47" spans="1:13">
      <c r="A47" s="149" t="s">
        <v>484</v>
      </c>
      <c r="B47" s="150" t="s">
        <v>429</v>
      </c>
      <c r="C47" s="151">
        <v>2</v>
      </c>
      <c r="D47" s="152">
        <v>6</v>
      </c>
      <c r="E47" s="150" t="s">
        <v>425</v>
      </c>
      <c r="F47" s="150" t="s">
        <v>424</v>
      </c>
      <c r="G47" s="153" t="s">
        <v>424</v>
      </c>
      <c r="H47" s="148">
        <v>70</v>
      </c>
      <c r="I47" s="154">
        <v>75</v>
      </c>
      <c r="J47" s="148" t="s">
        <v>479</v>
      </c>
      <c r="M47" s="12"/>
    </row>
    <row r="48" spans="1:13">
      <c r="A48" s="156" t="s">
        <v>485</v>
      </c>
      <c r="B48" s="157" t="s">
        <v>429</v>
      </c>
      <c r="C48" s="151">
        <v>2</v>
      </c>
      <c r="D48" s="152">
        <v>6</v>
      </c>
      <c r="E48" s="157" t="s">
        <v>425</v>
      </c>
      <c r="F48" s="157" t="s">
        <v>424</v>
      </c>
      <c r="G48" s="153" t="s">
        <v>424</v>
      </c>
      <c r="H48" s="158">
        <v>70</v>
      </c>
      <c r="I48" s="154">
        <v>75</v>
      </c>
      <c r="J48" s="158"/>
      <c r="M48" s="12"/>
    </row>
    <row r="49" spans="1:13">
      <c r="A49" s="159" t="s">
        <v>486</v>
      </c>
      <c r="B49" s="160" t="s">
        <v>433</v>
      </c>
      <c r="C49" s="151">
        <v>2</v>
      </c>
      <c r="D49" s="152">
        <v>4</v>
      </c>
      <c r="E49" s="160" t="s">
        <v>424</v>
      </c>
      <c r="F49" s="160" t="s">
        <v>424</v>
      </c>
      <c r="G49" s="153" t="s">
        <v>424</v>
      </c>
      <c r="H49" s="161">
        <v>70</v>
      </c>
      <c r="I49" s="154">
        <v>75</v>
      </c>
      <c r="J49" s="161" t="s">
        <v>479</v>
      </c>
      <c r="M49" s="12"/>
    </row>
    <row r="50" spans="1:13">
      <c r="A50" s="162" t="s">
        <v>487</v>
      </c>
      <c r="B50" s="163" t="s">
        <v>429</v>
      </c>
      <c r="C50" s="151">
        <v>2</v>
      </c>
      <c r="D50" s="152">
        <v>6</v>
      </c>
      <c r="E50" s="163" t="s">
        <v>425</v>
      </c>
      <c r="F50" s="163" t="s">
        <v>424</v>
      </c>
      <c r="G50" s="153" t="s">
        <v>424</v>
      </c>
      <c r="H50" s="164">
        <v>70</v>
      </c>
      <c r="I50" s="154">
        <v>75</v>
      </c>
      <c r="J50" s="164" t="s">
        <v>479</v>
      </c>
      <c r="M50" s="12"/>
    </row>
    <row r="51" spans="1:13">
      <c r="A51" s="165" t="s">
        <v>488</v>
      </c>
      <c r="B51" s="166" t="s">
        <v>429</v>
      </c>
      <c r="C51" s="151">
        <v>2</v>
      </c>
      <c r="D51" s="152">
        <v>6</v>
      </c>
      <c r="E51" s="166" t="s">
        <v>425</v>
      </c>
      <c r="F51" s="166" t="s">
        <v>424</v>
      </c>
      <c r="G51" s="153" t="s">
        <v>424</v>
      </c>
      <c r="H51" s="167">
        <v>70</v>
      </c>
      <c r="I51" s="154">
        <v>75</v>
      </c>
      <c r="J51" s="167" t="s">
        <v>479</v>
      </c>
      <c r="M51" s="12"/>
    </row>
    <row r="52" spans="1:13">
      <c r="A52" s="168" t="s">
        <v>489</v>
      </c>
      <c r="B52" s="169" t="s">
        <v>429</v>
      </c>
      <c r="C52" s="151">
        <v>2</v>
      </c>
      <c r="D52" s="152">
        <v>6</v>
      </c>
      <c r="E52" s="169" t="s">
        <v>425</v>
      </c>
      <c r="F52" s="169" t="s">
        <v>424</v>
      </c>
      <c r="G52" s="153" t="s">
        <v>424</v>
      </c>
      <c r="H52" s="170">
        <v>70</v>
      </c>
      <c r="I52" s="154">
        <v>75</v>
      </c>
      <c r="J52" s="170" t="s">
        <v>479</v>
      </c>
      <c r="M52" s="12"/>
    </row>
    <row r="53" spans="1:13">
      <c r="A53" s="171" t="s">
        <v>490</v>
      </c>
      <c r="B53" s="172" t="s">
        <v>429</v>
      </c>
      <c r="C53" s="151">
        <v>2</v>
      </c>
      <c r="D53" s="152">
        <v>6</v>
      </c>
      <c r="E53" s="172" t="s">
        <v>425</v>
      </c>
      <c r="F53" s="172" t="s">
        <v>424</v>
      </c>
      <c r="G53" s="153" t="s">
        <v>424</v>
      </c>
      <c r="H53" s="173">
        <v>70</v>
      </c>
      <c r="I53" s="154">
        <v>75</v>
      </c>
      <c r="J53" s="173" t="s">
        <v>479</v>
      </c>
      <c r="M53" s="12"/>
    </row>
    <row r="54" spans="1:13">
      <c r="A54" s="174" t="s">
        <v>491</v>
      </c>
      <c r="B54" s="175" t="s">
        <v>429</v>
      </c>
      <c r="C54" s="151">
        <v>2</v>
      </c>
      <c r="D54" s="152">
        <v>10</v>
      </c>
      <c r="E54" s="175" t="s">
        <v>425</v>
      </c>
      <c r="F54" s="175" t="s">
        <v>424</v>
      </c>
      <c r="G54" s="153" t="s">
        <v>424</v>
      </c>
      <c r="H54" s="176">
        <v>70</v>
      </c>
      <c r="I54" s="154">
        <v>75</v>
      </c>
      <c r="J54" s="176"/>
      <c r="M54" s="12"/>
    </row>
    <row r="55" spans="1:13">
      <c r="A55" s="177" t="s">
        <v>492</v>
      </c>
      <c r="B55" s="178" t="s">
        <v>424</v>
      </c>
      <c r="C55" s="151">
        <v>2</v>
      </c>
      <c r="D55" s="152">
        <v>6</v>
      </c>
      <c r="E55" s="178" t="s">
        <v>424</v>
      </c>
      <c r="F55" s="178" t="s">
        <v>424</v>
      </c>
      <c r="G55" s="153" t="s">
        <v>424</v>
      </c>
      <c r="H55" s="179" t="s">
        <v>424</v>
      </c>
      <c r="I55" s="179" t="s">
        <v>424</v>
      </c>
      <c r="J55" s="179"/>
      <c r="M55" s="12"/>
    </row>
    <row r="56" spans="1:13">
      <c r="A56" s="180" t="s">
        <v>493</v>
      </c>
      <c r="B56" s="178" t="s">
        <v>433</v>
      </c>
      <c r="C56" s="151">
        <v>3</v>
      </c>
      <c r="D56" s="152">
        <v>15</v>
      </c>
      <c r="E56" s="178" t="s">
        <v>424</v>
      </c>
      <c r="F56" s="178" t="s">
        <v>426</v>
      </c>
      <c r="G56" s="153" t="s">
        <v>449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429</v>
      </c>
      <c r="C57" s="151">
        <v>2</v>
      </c>
      <c r="D57" s="152">
        <v>10</v>
      </c>
      <c r="E57" s="178" t="s">
        <v>425</v>
      </c>
      <c r="F57" s="178" t="s">
        <v>426</v>
      </c>
      <c r="G57" s="153" t="s">
        <v>424</v>
      </c>
      <c r="H57" s="179" t="s">
        <v>424</v>
      </c>
      <c r="I57" s="179" t="s">
        <v>424</v>
      </c>
      <c r="J57" s="179"/>
      <c r="M57" s="12"/>
    </row>
    <row r="58" spans="1:13">
      <c r="A58" s="180" t="s">
        <v>494</v>
      </c>
      <c r="B58" s="178" t="s">
        <v>429</v>
      </c>
      <c r="C58" s="151" t="s">
        <v>424</v>
      </c>
      <c r="D58" s="152">
        <v>10</v>
      </c>
      <c r="E58" s="178" t="s">
        <v>425</v>
      </c>
      <c r="F58" s="178" t="s">
        <v>426</v>
      </c>
      <c r="G58" s="153" t="s">
        <v>424</v>
      </c>
      <c r="H58" s="179" t="s">
        <v>424</v>
      </c>
      <c r="I58" s="179" t="s">
        <v>424</v>
      </c>
      <c r="J58" s="179"/>
      <c r="M58" s="12"/>
    </row>
    <row r="59" spans="1:13">
      <c r="A59" s="180" t="s">
        <v>495</v>
      </c>
      <c r="B59" s="178" t="s">
        <v>429</v>
      </c>
      <c r="C59" s="151" t="s">
        <v>424</v>
      </c>
      <c r="D59" s="152">
        <v>8</v>
      </c>
      <c r="E59" s="178" t="s">
        <v>425</v>
      </c>
      <c r="F59" s="178" t="s">
        <v>424</v>
      </c>
      <c r="G59" s="153" t="s">
        <v>424</v>
      </c>
      <c r="H59" s="179" t="s">
        <v>424</v>
      </c>
      <c r="I59" s="179" t="s">
        <v>424</v>
      </c>
      <c r="J59" s="179" t="s">
        <v>496</v>
      </c>
      <c r="M59" s="12"/>
    </row>
    <row r="60" spans="1:13">
      <c r="A60" s="180" t="s">
        <v>497</v>
      </c>
      <c r="B60" s="178" t="s">
        <v>424</v>
      </c>
      <c r="C60" s="151">
        <v>2</v>
      </c>
      <c r="D60" s="152">
        <v>4</v>
      </c>
      <c r="E60" s="178" t="s">
        <v>424</v>
      </c>
      <c r="F60" s="178" t="s">
        <v>424</v>
      </c>
      <c r="G60" s="153" t="s">
        <v>430</v>
      </c>
      <c r="H60" s="179">
        <v>70</v>
      </c>
      <c r="I60" s="154">
        <v>75</v>
      </c>
      <c r="J60" s="179"/>
      <c r="M60" s="12"/>
    </row>
    <row r="61" spans="1:13">
      <c r="A61" s="180" t="s">
        <v>498</v>
      </c>
      <c r="B61" s="178" t="s">
        <v>429</v>
      </c>
      <c r="C61" s="151">
        <v>2</v>
      </c>
      <c r="D61" s="152">
        <v>12</v>
      </c>
      <c r="E61" s="178" t="s">
        <v>425</v>
      </c>
      <c r="F61" s="178" t="s">
        <v>426</v>
      </c>
      <c r="G61" s="153" t="s">
        <v>424</v>
      </c>
      <c r="H61" s="179">
        <v>68</v>
      </c>
      <c r="I61" s="154">
        <v>75</v>
      </c>
      <c r="J61" s="179" t="s">
        <v>438</v>
      </c>
      <c r="M61" s="12"/>
    </row>
    <row r="62" spans="1:13">
      <c r="A62" s="180" t="s">
        <v>499</v>
      </c>
      <c r="B62" s="178" t="s">
        <v>424</v>
      </c>
      <c r="C62" s="151">
        <v>2</v>
      </c>
      <c r="D62" s="152">
        <v>6</v>
      </c>
      <c r="E62" s="178" t="s">
        <v>424</v>
      </c>
      <c r="F62" s="178" t="s">
        <v>424</v>
      </c>
      <c r="G62" s="153" t="s">
        <v>424</v>
      </c>
      <c r="H62" s="179" t="s">
        <v>424</v>
      </c>
      <c r="I62" s="179" t="s">
        <v>424</v>
      </c>
      <c r="J62" s="179"/>
      <c r="M62" s="12"/>
    </row>
    <row r="63" spans="1:13">
      <c r="A63" s="180" t="s">
        <v>500</v>
      </c>
      <c r="B63" s="178" t="s">
        <v>429</v>
      </c>
      <c r="C63" s="151">
        <v>2</v>
      </c>
      <c r="D63" s="152">
        <v>12</v>
      </c>
      <c r="E63" s="178" t="s">
        <v>425</v>
      </c>
      <c r="F63" s="178" t="s">
        <v>426</v>
      </c>
      <c r="G63" s="153" t="s">
        <v>430</v>
      </c>
      <c r="H63" s="179">
        <v>72</v>
      </c>
      <c r="I63" s="154">
        <v>78</v>
      </c>
      <c r="J63" s="179"/>
      <c r="M63" s="12"/>
    </row>
    <row r="64" spans="1:13">
      <c r="A64" s="180" t="s">
        <v>501</v>
      </c>
      <c r="B64" s="178" t="s">
        <v>433</v>
      </c>
      <c r="C64" s="151">
        <v>2</v>
      </c>
      <c r="D64" s="152">
        <v>6</v>
      </c>
      <c r="E64" s="178" t="s">
        <v>424</v>
      </c>
      <c r="F64" s="178" t="s">
        <v>426</v>
      </c>
      <c r="G64" s="153" t="s">
        <v>444</v>
      </c>
      <c r="H64" s="179">
        <v>72</v>
      </c>
      <c r="I64" s="154">
        <v>78</v>
      </c>
      <c r="J64" s="179"/>
      <c r="M64" s="12"/>
    </row>
    <row r="65" spans="1:13">
      <c r="A65" s="180" t="s">
        <v>502</v>
      </c>
      <c r="B65" s="178" t="s">
        <v>455</v>
      </c>
      <c r="C65" s="151">
        <v>2</v>
      </c>
      <c r="D65" s="152">
        <v>10</v>
      </c>
      <c r="E65" s="178" t="s">
        <v>424</v>
      </c>
      <c r="F65" s="178" t="s">
        <v>426</v>
      </c>
      <c r="G65" s="153" t="s">
        <v>424</v>
      </c>
      <c r="H65" s="179" t="s">
        <v>424</v>
      </c>
      <c r="I65" s="179" t="s">
        <v>424</v>
      </c>
      <c r="J65" s="179"/>
      <c r="M65" s="12"/>
    </row>
    <row r="66" spans="1:13">
      <c r="A66" s="180" t="s">
        <v>503</v>
      </c>
      <c r="B66" s="178" t="s">
        <v>424</v>
      </c>
      <c r="C66" s="151">
        <v>2</v>
      </c>
      <c r="D66" s="152">
        <v>6</v>
      </c>
      <c r="E66" s="178" t="s">
        <v>424</v>
      </c>
      <c r="F66" s="178" t="s">
        <v>426</v>
      </c>
      <c r="G66" s="153" t="s">
        <v>444</v>
      </c>
      <c r="H66" s="179">
        <v>72</v>
      </c>
      <c r="I66" s="154">
        <v>78</v>
      </c>
      <c r="J66" s="179"/>
      <c r="M66" s="12"/>
    </row>
    <row r="67" spans="1:13">
      <c r="A67" s="180" t="s">
        <v>504</v>
      </c>
      <c r="B67" s="178" t="s">
        <v>429</v>
      </c>
      <c r="C67" s="151" t="s">
        <v>424</v>
      </c>
      <c r="D67" s="152">
        <v>10</v>
      </c>
      <c r="E67" s="178" t="s">
        <v>425</v>
      </c>
      <c r="F67" s="178" t="s">
        <v>426</v>
      </c>
      <c r="G67" s="153" t="s">
        <v>424</v>
      </c>
      <c r="H67" s="179">
        <v>70</v>
      </c>
      <c r="I67" s="154">
        <v>75</v>
      </c>
      <c r="J67" s="179" t="s">
        <v>505</v>
      </c>
      <c r="M67" s="12"/>
    </row>
    <row r="68" spans="1:13">
      <c r="A68" s="180" t="s">
        <v>506</v>
      </c>
      <c r="B68" s="178" t="s">
        <v>424</v>
      </c>
      <c r="C68" s="151" t="s">
        <v>424</v>
      </c>
      <c r="D68" s="152">
        <v>2</v>
      </c>
      <c r="E68" s="178" t="s">
        <v>424</v>
      </c>
      <c r="F68" s="178" t="s">
        <v>424</v>
      </c>
      <c r="G68" s="153" t="s">
        <v>424</v>
      </c>
      <c r="H68" s="179" t="s">
        <v>424</v>
      </c>
      <c r="I68" s="179" t="s">
        <v>424</v>
      </c>
      <c r="J68" s="179"/>
      <c r="M68" s="12"/>
    </row>
    <row r="69" spans="1:13">
      <c r="A69" s="180" t="s">
        <v>507</v>
      </c>
      <c r="B69" s="178" t="s">
        <v>429</v>
      </c>
      <c r="C69" s="151">
        <v>2</v>
      </c>
      <c r="D69" s="152">
        <v>6</v>
      </c>
      <c r="E69" s="178" t="s">
        <v>425</v>
      </c>
      <c r="F69" s="178" t="s">
        <v>426</v>
      </c>
      <c r="G69" s="153" t="s">
        <v>424</v>
      </c>
      <c r="H69" s="179" t="s">
        <v>424</v>
      </c>
      <c r="I69" s="179" t="s">
        <v>424</v>
      </c>
      <c r="J69" s="179"/>
      <c r="M69" s="12"/>
    </row>
    <row r="70" spans="1:13">
      <c r="A70" s="180" t="s">
        <v>508</v>
      </c>
      <c r="B70" s="178" t="s">
        <v>429</v>
      </c>
      <c r="C70" s="151" t="s">
        <v>424</v>
      </c>
      <c r="D70" s="152">
        <v>6</v>
      </c>
      <c r="E70" s="178" t="s">
        <v>425</v>
      </c>
      <c r="F70" s="178" t="s">
        <v>426</v>
      </c>
      <c r="G70" s="153" t="s">
        <v>424</v>
      </c>
      <c r="H70" s="179">
        <v>70</v>
      </c>
      <c r="I70" s="154">
        <v>75</v>
      </c>
      <c r="J70" s="179"/>
      <c r="M70" s="12"/>
    </row>
    <row r="71" spans="1:13">
      <c r="A71" s="180" t="s">
        <v>509</v>
      </c>
      <c r="B71" s="178" t="s">
        <v>429</v>
      </c>
      <c r="C71" s="151">
        <v>2</v>
      </c>
      <c r="D71" s="152">
        <v>6</v>
      </c>
      <c r="E71" s="178" t="s">
        <v>425</v>
      </c>
      <c r="F71" s="178" t="s">
        <v>424</v>
      </c>
      <c r="G71" s="153" t="s">
        <v>424</v>
      </c>
      <c r="H71" s="179">
        <v>70</v>
      </c>
      <c r="I71" s="154">
        <v>75</v>
      </c>
      <c r="J71" s="179"/>
      <c r="M71" s="12"/>
    </row>
    <row r="72" spans="1:13">
      <c r="A72" s="180" t="s">
        <v>510</v>
      </c>
      <c r="B72" s="151" t="s">
        <v>424</v>
      </c>
      <c r="C72" s="151" t="s">
        <v>424</v>
      </c>
      <c r="D72" s="152">
        <v>2</v>
      </c>
      <c r="E72" s="178" t="s">
        <v>424</v>
      </c>
      <c r="F72" s="178" t="s">
        <v>424</v>
      </c>
      <c r="G72" s="178" t="s">
        <v>424</v>
      </c>
      <c r="H72" s="178" t="s">
        <v>424</v>
      </c>
      <c r="I72" s="178" t="s">
        <v>424</v>
      </c>
      <c r="J72" s="179" t="s">
        <v>511</v>
      </c>
      <c r="M72" s="12"/>
    </row>
    <row r="73" spans="1:13">
      <c r="A73" s="180" t="s">
        <v>512</v>
      </c>
      <c r="B73" s="178" t="s">
        <v>424</v>
      </c>
      <c r="C73" s="151">
        <v>2</v>
      </c>
      <c r="D73" s="152">
        <v>6</v>
      </c>
      <c r="E73" s="178" t="s">
        <v>424</v>
      </c>
      <c r="F73" s="178" t="s">
        <v>424</v>
      </c>
      <c r="G73" s="153" t="s">
        <v>424</v>
      </c>
      <c r="H73" s="179">
        <v>70</v>
      </c>
      <c r="I73" s="154">
        <v>75</v>
      </c>
      <c r="J73" s="179"/>
      <c r="M73" s="12"/>
    </row>
    <row r="74" spans="1:13">
      <c r="A74" s="180" t="s">
        <v>513</v>
      </c>
      <c r="B74" s="178" t="s">
        <v>424</v>
      </c>
      <c r="C74" s="151">
        <v>2</v>
      </c>
      <c r="D74" s="152">
        <v>6</v>
      </c>
      <c r="E74" s="178" t="s">
        <v>424</v>
      </c>
      <c r="F74" s="178" t="s">
        <v>424</v>
      </c>
      <c r="G74" s="153" t="s">
        <v>424</v>
      </c>
      <c r="H74" s="179">
        <v>70</v>
      </c>
      <c r="I74" s="154">
        <v>75</v>
      </c>
      <c r="J74" s="179"/>
      <c r="M74" s="12"/>
    </row>
    <row r="75" spans="1:13">
      <c r="A75" s="180" t="s">
        <v>514</v>
      </c>
      <c r="B75" s="178" t="s">
        <v>433</v>
      </c>
      <c r="C75" s="151">
        <v>4</v>
      </c>
      <c r="D75" s="152">
        <v>20</v>
      </c>
      <c r="E75" s="178" t="s">
        <v>424</v>
      </c>
      <c r="F75" s="178" t="s">
        <v>426</v>
      </c>
      <c r="G75" s="153" t="s">
        <v>449</v>
      </c>
      <c r="H75" s="179">
        <v>68</v>
      </c>
      <c r="I75" s="154">
        <v>75</v>
      </c>
      <c r="J75" s="179"/>
      <c r="M75" s="12"/>
    </row>
    <row r="76" spans="1:13">
      <c r="A76" s="180" t="s">
        <v>515</v>
      </c>
      <c r="B76" s="178" t="s">
        <v>433</v>
      </c>
      <c r="C76" s="151">
        <v>4</v>
      </c>
      <c r="D76" s="152">
        <v>20</v>
      </c>
      <c r="E76" s="178" t="s">
        <v>424</v>
      </c>
      <c r="F76" s="178" t="s">
        <v>426</v>
      </c>
      <c r="G76" s="153" t="s">
        <v>449</v>
      </c>
      <c r="H76" s="179">
        <v>68</v>
      </c>
      <c r="I76" s="154">
        <v>75</v>
      </c>
      <c r="J76" s="179" t="s">
        <v>450</v>
      </c>
      <c r="M76" s="12"/>
    </row>
    <row r="77" spans="1:13">
      <c r="A77" s="180" t="s">
        <v>180</v>
      </c>
      <c r="B77" s="178" t="s">
        <v>424</v>
      </c>
      <c r="C77" s="151" t="s">
        <v>424</v>
      </c>
      <c r="D77" s="152">
        <v>2</v>
      </c>
      <c r="E77" s="178" t="s">
        <v>424</v>
      </c>
      <c r="F77" s="178" t="s">
        <v>424</v>
      </c>
      <c r="G77" s="153" t="s">
        <v>424</v>
      </c>
      <c r="H77" s="179" t="s">
        <v>424</v>
      </c>
      <c r="I77" s="179" t="s">
        <v>424</v>
      </c>
      <c r="J77" s="179"/>
      <c r="M77" s="12"/>
    </row>
    <row r="78" spans="1:13">
      <c r="A78" s="180" t="s">
        <v>516</v>
      </c>
      <c r="B78" s="178" t="s">
        <v>424</v>
      </c>
      <c r="C78" s="151">
        <v>2</v>
      </c>
      <c r="D78" s="152">
        <v>6</v>
      </c>
      <c r="E78" s="178" t="s">
        <v>424</v>
      </c>
      <c r="F78" s="178" t="s">
        <v>426</v>
      </c>
      <c r="G78" s="153" t="s">
        <v>424</v>
      </c>
      <c r="H78" s="179" t="s">
        <v>424</v>
      </c>
      <c r="I78" s="179" t="s">
        <v>424</v>
      </c>
      <c r="J78" s="179"/>
      <c r="M78" s="12"/>
    </row>
    <row r="79" spans="1:13">
      <c r="A79" s="180" t="s">
        <v>517</v>
      </c>
      <c r="B79" s="178" t="s">
        <v>424</v>
      </c>
      <c r="C79" s="151">
        <v>2</v>
      </c>
      <c r="D79" s="152">
        <v>4</v>
      </c>
      <c r="E79" s="178" t="s">
        <v>424</v>
      </c>
      <c r="F79" s="178" t="s">
        <v>424</v>
      </c>
      <c r="G79" s="153" t="s">
        <v>430</v>
      </c>
      <c r="H79" s="179">
        <v>70</v>
      </c>
      <c r="I79" s="154">
        <v>75</v>
      </c>
      <c r="J79" s="179" t="s">
        <v>518</v>
      </c>
      <c r="M79" s="12"/>
    </row>
    <row r="80" spans="1:13">
      <c r="A80" s="181" t="s">
        <v>519</v>
      </c>
      <c r="B80" s="182" t="s">
        <v>424</v>
      </c>
      <c r="C80" s="151">
        <v>2</v>
      </c>
      <c r="D80" s="152">
        <v>6</v>
      </c>
      <c r="E80" s="182" t="s">
        <v>424</v>
      </c>
      <c r="F80" s="182" t="s">
        <v>424</v>
      </c>
      <c r="G80" s="153" t="s">
        <v>424</v>
      </c>
      <c r="H80" s="183" t="s">
        <v>424</v>
      </c>
      <c r="I80" s="183" t="s">
        <v>424</v>
      </c>
      <c r="J80" s="183"/>
      <c r="M80" s="12"/>
    </row>
    <row r="81" spans="1:13">
      <c r="A81" s="184" t="s">
        <v>520</v>
      </c>
      <c r="B81" s="185" t="s">
        <v>433</v>
      </c>
      <c r="C81" s="151">
        <v>2</v>
      </c>
      <c r="D81" s="152">
        <v>4</v>
      </c>
      <c r="E81" s="185" t="s">
        <v>424</v>
      </c>
      <c r="F81" s="185" t="s">
        <v>424</v>
      </c>
      <c r="G81" s="153" t="s">
        <v>424</v>
      </c>
      <c r="H81" s="186" t="s">
        <v>424</v>
      </c>
      <c r="I81" s="186" t="s">
        <v>424</v>
      </c>
      <c r="J81" s="186" t="s">
        <v>297</v>
      </c>
      <c r="M81" s="12"/>
    </row>
    <row r="82" spans="1:13">
      <c r="A82" s="187" t="s">
        <v>521</v>
      </c>
      <c r="B82" s="188" t="s">
        <v>424</v>
      </c>
      <c r="C82" s="151">
        <v>2</v>
      </c>
      <c r="D82" s="152">
        <v>4</v>
      </c>
      <c r="E82" s="188" t="s">
        <v>424</v>
      </c>
      <c r="F82" s="188" t="s">
        <v>424</v>
      </c>
      <c r="G82" s="153" t="s">
        <v>424</v>
      </c>
      <c r="H82" s="189" t="s">
        <v>424</v>
      </c>
      <c r="I82" s="189" t="s">
        <v>424</v>
      </c>
      <c r="J82" s="189"/>
      <c r="M82" s="12"/>
    </row>
    <row r="83" spans="1:13">
      <c r="A83" s="190" t="s">
        <v>522</v>
      </c>
      <c r="B83" s="191" t="s">
        <v>433</v>
      </c>
      <c r="C83" s="151" t="s">
        <v>424</v>
      </c>
      <c r="D83" s="152" t="s">
        <v>424</v>
      </c>
      <c r="E83" s="191" t="s">
        <v>424</v>
      </c>
      <c r="F83" s="191" t="s">
        <v>424</v>
      </c>
      <c r="G83" s="153" t="s">
        <v>523</v>
      </c>
      <c r="H83" s="192">
        <v>68</v>
      </c>
      <c r="I83" s="192">
        <v>68</v>
      </c>
      <c r="J83" s="192" t="s">
        <v>297</v>
      </c>
      <c r="M83" s="12"/>
    </row>
    <row r="84" spans="1:13">
      <c r="A84" s="193" t="s">
        <v>524</v>
      </c>
      <c r="B84" s="194" t="s">
        <v>429</v>
      </c>
      <c r="C84" s="151" t="s">
        <v>424</v>
      </c>
      <c r="D84" s="152">
        <v>30</v>
      </c>
      <c r="E84" s="194" t="s">
        <v>425</v>
      </c>
      <c r="F84" s="194" t="s">
        <v>426</v>
      </c>
      <c r="G84" s="153" t="s">
        <v>523</v>
      </c>
      <c r="H84" s="195">
        <v>68</v>
      </c>
      <c r="I84" s="195">
        <v>68</v>
      </c>
      <c r="J84" s="195" t="s">
        <v>297</v>
      </c>
      <c r="M84" s="12"/>
    </row>
    <row r="85" spans="1:13">
      <c r="A85" s="196" t="s">
        <v>525</v>
      </c>
      <c r="B85" s="197" t="s">
        <v>429</v>
      </c>
      <c r="C85" s="151" t="s">
        <v>424</v>
      </c>
      <c r="D85" s="152">
        <v>12</v>
      </c>
      <c r="E85" s="197" t="s">
        <v>425</v>
      </c>
      <c r="F85" s="197" t="s">
        <v>424</v>
      </c>
      <c r="G85" s="153" t="s">
        <v>424</v>
      </c>
      <c r="H85" s="198" t="s">
        <v>424</v>
      </c>
      <c r="I85" s="198" t="s">
        <v>424</v>
      </c>
      <c r="J85" s="198" t="s">
        <v>526</v>
      </c>
      <c r="M85" s="12"/>
    </row>
    <row r="86" spans="1:13">
      <c r="A86" s="199" t="s">
        <v>527</v>
      </c>
      <c r="B86" s="200" t="s">
        <v>429</v>
      </c>
      <c r="C86" s="151" t="s">
        <v>424</v>
      </c>
      <c r="D86" s="152">
        <v>12</v>
      </c>
      <c r="E86" s="200" t="s">
        <v>425</v>
      </c>
      <c r="F86" s="200" t="s">
        <v>424</v>
      </c>
      <c r="G86" s="153" t="s">
        <v>424</v>
      </c>
      <c r="H86" s="201" t="s">
        <v>424</v>
      </c>
      <c r="I86" s="201" t="s">
        <v>424</v>
      </c>
      <c r="J86" s="201" t="s">
        <v>297</v>
      </c>
      <c r="M86" s="12"/>
    </row>
    <row r="87" spans="1:13">
      <c r="A87" s="202" t="s">
        <v>528</v>
      </c>
      <c r="B87" s="203" t="s">
        <v>433</v>
      </c>
      <c r="C87" s="151" t="s">
        <v>424</v>
      </c>
      <c r="D87" s="152">
        <v>30</v>
      </c>
      <c r="E87" s="203" t="s">
        <v>424</v>
      </c>
      <c r="F87" s="203" t="s">
        <v>424</v>
      </c>
      <c r="G87" s="153" t="s">
        <v>523</v>
      </c>
      <c r="H87" s="204">
        <v>68</v>
      </c>
      <c r="I87" s="204">
        <v>68</v>
      </c>
      <c r="J87" s="204" t="s">
        <v>297</v>
      </c>
      <c r="M87" s="12"/>
    </row>
    <row r="88" spans="1:13">
      <c r="A88" s="205" t="s">
        <v>529</v>
      </c>
      <c r="B88" s="206" t="s">
        <v>433</v>
      </c>
      <c r="C88" s="151" t="s">
        <v>424</v>
      </c>
      <c r="D88" s="152">
        <v>30</v>
      </c>
      <c r="E88" s="206" t="s">
        <v>424</v>
      </c>
      <c r="F88" s="206" t="s">
        <v>426</v>
      </c>
      <c r="G88" s="153" t="s">
        <v>523</v>
      </c>
      <c r="H88" s="207">
        <v>68</v>
      </c>
      <c r="I88" s="207">
        <v>68</v>
      </c>
      <c r="J88" s="207" t="s">
        <v>297</v>
      </c>
      <c r="M88" s="12"/>
    </row>
    <row r="89" spans="1:13">
      <c r="A89" s="208" t="s">
        <v>530</v>
      </c>
      <c r="B89" s="209" t="s">
        <v>424</v>
      </c>
      <c r="C89" s="151" t="s">
        <v>424</v>
      </c>
      <c r="D89" s="152" t="s">
        <v>424</v>
      </c>
      <c r="E89" s="209" t="s">
        <v>424</v>
      </c>
      <c r="F89" s="209" t="s">
        <v>424</v>
      </c>
      <c r="G89" s="153" t="s">
        <v>424</v>
      </c>
      <c r="H89" s="210" t="s">
        <v>424</v>
      </c>
      <c r="I89" s="210" t="s">
        <v>424</v>
      </c>
      <c r="J89" s="210"/>
      <c r="M89" s="12"/>
    </row>
    <row r="90" spans="1:13">
      <c r="A90" s="211" t="s">
        <v>531</v>
      </c>
      <c r="B90" s="212" t="s">
        <v>429</v>
      </c>
      <c r="C90" s="151">
        <v>2</v>
      </c>
      <c r="D90" s="152">
        <v>6</v>
      </c>
      <c r="E90" s="212" t="s">
        <v>424</v>
      </c>
      <c r="F90" s="212" t="s">
        <v>424</v>
      </c>
      <c r="G90" s="153" t="s">
        <v>424</v>
      </c>
      <c r="H90" s="213">
        <v>70</v>
      </c>
      <c r="I90" s="154">
        <v>75</v>
      </c>
      <c r="J90" s="213"/>
      <c r="M90" s="12"/>
    </row>
    <row r="91" spans="1:13">
      <c r="A91" s="214" t="s">
        <v>532</v>
      </c>
      <c r="B91" s="215" t="s">
        <v>429</v>
      </c>
      <c r="C91" s="151">
        <v>2</v>
      </c>
      <c r="D91" s="152">
        <v>6</v>
      </c>
      <c r="E91" s="215" t="s">
        <v>424</v>
      </c>
      <c r="F91" s="215" t="s">
        <v>424</v>
      </c>
      <c r="G91" s="153" t="s">
        <v>460</v>
      </c>
      <c r="H91" s="216">
        <v>72</v>
      </c>
      <c r="I91" s="154">
        <v>80</v>
      </c>
      <c r="J91" s="216"/>
      <c r="M91" s="12"/>
    </row>
    <row r="92" spans="1:13">
      <c r="A92" s="217" t="s">
        <v>533</v>
      </c>
      <c r="B92" s="218" t="s">
        <v>424</v>
      </c>
      <c r="C92" s="151">
        <v>2</v>
      </c>
      <c r="D92" s="152">
        <v>6</v>
      </c>
      <c r="E92" s="218" t="s">
        <v>425</v>
      </c>
      <c r="F92" s="218" t="s">
        <v>426</v>
      </c>
      <c r="G92" s="153" t="s">
        <v>449</v>
      </c>
      <c r="H92" s="219">
        <v>70</v>
      </c>
      <c r="I92" s="154">
        <v>75</v>
      </c>
      <c r="J92" s="219"/>
      <c r="M92" s="12"/>
    </row>
    <row r="93" spans="1:13">
      <c r="A93" s="220" t="s">
        <v>534</v>
      </c>
      <c r="B93" s="221" t="s">
        <v>429</v>
      </c>
      <c r="C93" s="151">
        <v>2</v>
      </c>
      <c r="D93" s="152">
        <v>12</v>
      </c>
      <c r="E93" s="221" t="s">
        <v>425</v>
      </c>
      <c r="F93" s="221" t="s">
        <v>424</v>
      </c>
      <c r="G93" s="153" t="s">
        <v>424</v>
      </c>
      <c r="H93" s="222" t="s">
        <v>424</v>
      </c>
      <c r="I93" s="222" t="s">
        <v>424</v>
      </c>
      <c r="J93" s="222" t="s">
        <v>461</v>
      </c>
      <c r="M93" s="12"/>
    </row>
    <row r="94" spans="1:13">
      <c r="A94" s="223" t="s">
        <v>535</v>
      </c>
      <c r="B94" s="224" t="s">
        <v>433</v>
      </c>
      <c r="C94" s="151">
        <v>3</v>
      </c>
      <c r="D94" s="152">
        <v>15</v>
      </c>
      <c r="E94" s="224" t="s">
        <v>424</v>
      </c>
      <c r="F94" s="224" t="s">
        <v>426</v>
      </c>
      <c r="G94" s="153" t="s">
        <v>449</v>
      </c>
      <c r="H94" s="225">
        <v>70</v>
      </c>
      <c r="I94" s="154">
        <v>75</v>
      </c>
      <c r="J94" s="225" t="s">
        <v>536</v>
      </c>
      <c r="M94" s="12"/>
    </row>
    <row r="95" spans="1:13">
      <c r="A95" s="226" t="s">
        <v>537</v>
      </c>
      <c r="B95" s="227" t="s">
        <v>538</v>
      </c>
      <c r="C95" s="151" t="s">
        <v>424</v>
      </c>
      <c r="D95" s="152">
        <v>10</v>
      </c>
      <c r="E95" s="227" t="s">
        <v>424</v>
      </c>
      <c r="F95" s="227" t="s">
        <v>426</v>
      </c>
      <c r="G95" s="153" t="s">
        <v>424</v>
      </c>
      <c r="H95" s="228" t="s">
        <v>424</v>
      </c>
      <c r="I95" s="228" t="s">
        <v>424</v>
      </c>
      <c r="J95" s="228" t="s">
        <v>539</v>
      </c>
      <c r="M95" s="12"/>
    </row>
    <row r="96" spans="1:13">
      <c r="A96" s="229" t="s">
        <v>540</v>
      </c>
      <c r="B96" s="230" t="s">
        <v>433</v>
      </c>
      <c r="C96" s="151">
        <v>2</v>
      </c>
      <c r="D96" s="152">
        <v>12</v>
      </c>
      <c r="E96" s="230" t="s">
        <v>424</v>
      </c>
      <c r="F96" s="230" t="s">
        <v>426</v>
      </c>
      <c r="G96" s="153" t="s">
        <v>430</v>
      </c>
      <c r="H96" s="231">
        <v>70</v>
      </c>
      <c r="I96" s="154">
        <v>75</v>
      </c>
      <c r="J96" s="231" t="s">
        <v>539</v>
      </c>
      <c r="M96" s="12"/>
    </row>
    <row r="97" spans="1:13">
      <c r="A97" s="232" t="s">
        <v>541</v>
      </c>
      <c r="B97" s="233" t="s">
        <v>429</v>
      </c>
      <c r="C97" s="151">
        <v>2</v>
      </c>
      <c r="D97" s="152">
        <v>12</v>
      </c>
      <c r="E97" s="233" t="s">
        <v>425</v>
      </c>
      <c r="F97" s="233" t="s">
        <v>424</v>
      </c>
      <c r="G97" s="153" t="s">
        <v>430</v>
      </c>
      <c r="H97" s="234">
        <v>70</v>
      </c>
      <c r="I97" s="154">
        <v>75</v>
      </c>
      <c r="J97" s="234" t="s">
        <v>542</v>
      </c>
      <c r="M97" s="12"/>
    </row>
    <row r="98" spans="1:13">
      <c r="A98" s="235" t="s">
        <v>543</v>
      </c>
      <c r="B98" s="236" t="s">
        <v>424</v>
      </c>
      <c r="C98" s="151">
        <v>2</v>
      </c>
      <c r="D98" s="152">
        <v>6</v>
      </c>
      <c r="E98" s="236" t="s">
        <v>424</v>
      </c>
      <c r="F98" s="236" t="s">
        <v>426</v>
      </c>
      <c r="G98" s="153" t="s">
        <v>449</v>
      </c>
      <c r="H98" s="237">
        <v>70</v>
      </c>
      <c r="I98" s="154">
        <v>75</v>
      </c>
      <c r="J98" s="237"/>
      <c r="M98" s="12"/>
    </row>
    <row r="99" spans="1:13">
      <c r="A99" s="238" t="s">
        <v>544</v>
      </c>
      <c r="B99" s="239" t="s">
        <v>424</v>
      </c>
      <c r="C99" s="151">
        <v>2</v>
      </c>
      <c r="D99" s="152">
        <v>6</v>
      </c>
      <c r="E99" s="239" t="s">
        <v>424</v>
      </c>
      <c r="F99" s="239" t="s">
        <v>424</v>
      </c>
      <c r="G99" s="153" t="s">
        <v>424</v>
      </c>
      <c r="H99" s="240" t="s">
        <v>424</v>
      </c>
      <c r="I99" s="240" t="s">
        <v>424</v>
      </c>
      <c r="J99" s="240"/>
      <c r="M99" s="12"/>
    </row>
    <row r="100" spans="1:13">
      <c r="A100" s="241" t="s">
        <v>545</v>
      </c>
      <c r="B100" s="242" t="s">
        <v>424</v>
      </c>
      <c r="C100" s="151">
        <v>4</v>
      </c>
      <c r="D100" s="152">
        <v>4</v>
      </c>
      <c r="E100" s="242" t="s">
        <v>424</v>
      </c>
      <c r="F100" s="242" t="s">
        <v>424</v>
      </c>
      <c r="G100" s="153" t="s">
        <v>424</v>
      </c>
      <c r="H100" s="243">
        <v>70</v>
      </c>
      <c r="I100" s="154">
        <v>75</v>
      </c>
      <c r="J100" s="243"/>
      <c r="M100" s="12"/>
    </row>
    <row r="101" spans="1:13">
      <c r="A101" s="244" t="s">
        <v>546</v>
      </c>
      <c r="B101" s="245" t="s">
        <v>424</v>
      </c>
      <c r="C101" s="151">
        <v>2</v>
      </c>
      <c r="D101" s="152">
        <v>2</v>
      </c>
      <c r="E101" s="245" t="s">
        <v>424</v>
      </c>
      <c r="F101" s="245" t="s">
        <v>424</v>
      </c>
      <c r="G101" s="153" t="s">
        <v>424</v>
      </c>
      <c r="H101" s="246">
        <v>70</v>
      </c>
      <c r="I101" s="154">
        <v>75</v>
      </c>
      <c r="J101" s="246"/>
      <c r="M101" s="12"/>
    </row>
    <row r="102" spans="1:13">
      <c r="A102" s="247" t="s">
        <v>547</v>
      </c>
      <c r="B102" s="248" t="s">
        <v>424</v>
      </c>
      <c r="C102" s="151" t="s">
        <v>424</v>
      </c>
      <c r="D102" s="152">
        <v>4</v>
      </c>
      <c r="E102" s="248" t="s">
        <v>424</v>
      </c>
      <c r="F102" s="248" t="s">
        <v>424</v>
      </c>
      <c r="G102" s="153" t="s">
        <v>424</v>
      </c>
      <c r="H102" s="249" t="s">
        <v>424</v>
      </c>
      <c r="I102" s="249" t="s">
        <v>424</v>
      </c>
      <c r="J102" s="249"/>
      <c r="M102" s="12"/>
    </row>
    <row r="103" spans="1:13">
      <c r="A103" s="250" t="s">
        <v>548</v>
      </c>
      <c r="B103" s="251" t="s">
        <v>424</v>
      </c>
      <c r="C103" s="151">
        <v>2</v>
      </c>
      <c r="D103" s="152">
        <v>6</v>
      </c>
      <c r="E103" s="251" t="s">
        <v>424</v>
      </c>
      <c r="F103" s="251" t="s">
        <v>424</v>
      </c>
      <c r="G103" s="153" t="s">
        <v>424</v>
      </c>
      <c r="H103" s="252" t="s">
        <v>424</v>
      </c>
      <c r="I103" s="252" t="s">
        <v>424</v>
      </c>
      <c r="J103" s="252"/>
      <c r="M103" s="12"/>
    </row>
    <row r="104" spans="1:13">
      <c r="A104" s="253" t="s">
        <v>549</v>
      </c>
      <c r="B104" s="254" t="s">
        <v>424</v>
      </c>
      <c r="C104" s="255">
        <v>2</v>
      </c>
      <c r="D104" s="256">
        <v>4</v>
      </c>
      <c r="E104" s="254" t="s">
        <v>424</v>
      </c>
      <c r="F104" s="254" t="s">
        <v>424</v>
      </c>
      <c r="G104" s="257" t="s">
        <v>424</v>
      </c>
      <c r="H104" s="252" t="s">
        <v>424</v>
      </c>
      <c r="I104" s="252" t="s">
        <v>424</v>
      </c>
      <c r="J104" s="154"/>
      <c r="M104" s="12"/>
    </row>
    <row r="105" spans="1:13">
      <c r="A105" s="253" t="s">
        <v>550</v>
      </c>
      <c r="B105" s="254" t="s">
        <v>429</v>
      </c>
      <c r="C105" s="255" t="s">
        <v>424</v>
      </c>
      <c r="D105" s="256">
        <v>10</v>
      </c>
      <c r="E105" s="254" t="s">
        <v>425</v>
      </c>
      <c r="F105" s="254" t="s">
        <v>426</v>
      </c>
      <c r="G105" s="257" t="s">
        <v>424</v>
      </c>
      <c r="H105" s="252" t="s">
        <v>424</v>
      </c>
      <c r="I105" s="252" t="s">
        <v>424</v>
      </c>
      <c r="J105" s="258"/>
      <c r="M105" s="12"/>
    </row>
    <row r="106" spans="1:13">
      <c r="A106" s="259" t="s">
        <v>551</v>
      </c>
      <c r="B106" s="260" t="s">
        <v>429</v>
      </c>
      <c r="C106" s="255" t="s">
        <v>424</v>
      </c>
      <c r="D106" s="256">
        <v>10</v>
      </c>
      <c r="E106" s="260" t="s">
        <v>425</v>
      </c>
      <c r="F106" s="260" t="s">
        <v>426</v>
      </c>
      <c r="G106" s="257" t="s">
        <v>424</v>
      </c>
      <c r="H106" s="252" t="s">
        <v>424</v>
      </c>
      <c r="I106" s="252" t="s">
        <v>424</v>
      </c>
      <c r="J106" s="258"/>
      <c r="M106" s="12"/>
    </row>
    <row r="107" spans="1:13">
      <c r="A107" s="259" t="s">
        <v>552</v>
      </c>
      <c r="B107" s="260" t="s">
        <v>429</v>
      </c>
      <c r="C107" s="255">
        <v>2</v>
      </c>
      <c r="D107" s="256">
        <v>6</v>
      </c>
      <c r="E107" s="260" t="s">
        <v>425</v>
      </c>
      <c r="F107" s="260" t="s">
        <v>426</v>
      </c>
      <c r="G107" s="257" t="s">
        <v>424</v>
      </c>
      <c r="H107" s="252">
        <v>72</v>
      </c>
      <c r="I107" s="261">
        <v>78</v>
      </c>
      <c r="J107" s="261"/>
      <c r="M107" s="12"/>
    </row>
    <row r="108" spans="1:13">
      <c r="A108" s="262" t="s">
        <v>553</v>
      </c>
      <c r="B108" s="263" t="s">
        <v>429</v>
      </c>
      <c r="C108" s="255">
        <v>2</v>
      </c>
      <c r="D108" s="256">
        <v>10</v>
      </c>
      <c r="E108" s="263" t="s">
        <v>425</v>
      </c>
      <c r="F108" s="263" t="s">
        <v>426</v>
      </c>
      <c r="G108" s="257" t="s">
        <v>424</v>
      </c>
      <c r="H108" s="252" t="s">
        <v>424</v>
      </c>
      <c r="I108" s="252" t="s">
        <v>424</v>
      </c>
      <c r="J108" s="261"/>
      <c r="M108" s="12"/>
    </row>
    <row r="109" spans="1:13">
      <c r="A109" s="262" t="s">
        <v>554</v>
      </c>
      <c r="B109" s="263" t="s">
        <v>424</v>
      </c>
      <c r="C109" s="255">
        <v>2</v>
      </c>
      <c r="D109" s="256">
        <v>6</v>
      </c>
      <c r="E109" s="263" t="s">
        <v>425</v>
      </c>
      <c r="F109" s="263" t="s">
        <v>424</v>
      </c>
      <c r="G109" s="257" t="s">
        <v>424</v>
      </c>
      <c r="H109" s="252" t="s">
        <v>424</v>
      </c>
      <c r="I109" s="252" t="s">
        <v>424</v>
      </c>
      <c r="J109" s="264"/>
      <c r="M109" s="12"/>
    </row>
    <row r="110" spans="1:13">
      <c r="A110" s="265" t="s">
        <v>555</v>
      </c>
      <c r="B110" s="266" t="s">
        <v>424</v>
      </c>
      <c r="C110" s="255">
        <v>2</v>
      </c>
      <c r="D110" s="256">
        <v>6</v>
      </c>
      <c r="E110" s="266" t="s">
        <v>424</v>
      </c>
      <c r="F110" s="266" t="s">
        <v>424</v>
      </c>
      <c r="G110" s="257" t="s">
        <v>424</v>
      </c>
      <c r="H110" s="252" t="s">
        <v>424</v>
      </c>
      <c r="I110" s="252" t="s">
        <v>424</v>
      </c>
      <c r="J110" s="264"/>
      <c r="M110" s="12"/>
    </row>
    <row r="111" spans="1:13">
      <c r="A111" s="265" t="s">
        <v>556</v>
      </c>
      <c r="B111" s="266" t="s">
        <v>433</v>
      </c>
      <c r="C111" s="255">
        <v>2</v>
      </c>
      <c r="D111" s="256">
        <v>4</v>
      </c>
      <c r="E111" s="266" t="s">
        <v>424</v>
      </c>
      <c r="F111" s="266" t="s">
        <v>424</v>
      </c>
      <c r="G111" s="257" t="s">
        <v>430</v>
      </c>
      <c r="H111" s="252">
        <v>72</v>
      </c>
      <c r="I111" s="267">
        <v>78</v>
      </c>
      <c r="J111" s="267"/>
      <c r="M111" s="12"/>
    </row>
    <row r="112" spans="1:13">
      <c r="A112" s="268" t="s">
        <v>557</v>
      </c>
      <c r="B112" s="266" t="s">
        <v>429</v>
      </c>
      <c r="C112" s="255" t="s">
        <v>424</v>
      </c>
      <c r="D112" s="256">
        <v>10</v>
      </c>
      <c r="E112" s="266" t="s">
        <v>425</v>
      </c>
      <c r="F112" s="266" t="s">
        <v>426</v>
      </c>
      <c r="G112" s="257" t="s">
        <v>424</v>
      </c>
      <c r="H112" s="252" t="s">
        <v>424</v>
      </c>
      <c r="I112" s="252" t="s">
        <v>424</v>
      </c>
      <c r="J112" s="267"/>
      <c r="M112" s="12"/>
    </row>
    <row r="113" spans="1:13">
      <c r="A113" s="268" t="s">
        <v>558</v>
      </c>
      <c r="B113" s="266" t="s">
        <v>424</v>
      </c>
      <c r="C113" s="255">
        <v>2</v>
      </c>
      <c r="D113" s="256">
        <v>6</v>
      </c>
      <c r="E113" s="266" t="s">
        <v>424</v>
      </c>
      <c r="F113" s="266" t="s">
        <v>426</v>
      </c>
      <c r="G113" s="257" t="s">
        <v>424</v>
      </c>
      <c r="H113" s="252" t="s">
        <v>424</v>
      </c>
      <c r="I113" s="252" t="s">
        <v>424</v>
      </c>
      <c r="J113" s="267"/>
      <c r="M113" s="12"/>
    </row>
    <row r="114" spans="1:13">
      <c r="A114" s="268" t="s">
        <v>559</v>
      </c>
      <c r="B114" s="266" t="s">
        <v>429</v>
      </c>
      <c r="C114" s="255" t="s">
        <v>424</v>
      </c>
      <c r="D114" s="256">
        <v>10</v>
      </c>
      <c r="E114" s="266" t="s">
        <v>425</v>
      </c>
      <c r="F114" s="266" t="s">
        <v>426</v>
      </c>
      <c r="G114" s="257" t="s">
        <v>424</v>
      </c>
      <c r="H114" s="252" t="s">
        <v>424</v>
      </c>
      <c r="I114" s="252" t="s">
        <v>424</v>
      </c>
      <c r="J114" s="267"/>
      <c r="M114" s="12"/>
    </row>
    <row r="115" spans="1:13">
      <c r="A115" s="268" t="s">
        <v>560</v>
      </c>
      <c r="B115" s="266" t="s">
        <v>433</v>
      </c>
      <c r="C115" s="255">
        <v>3</v>
      </c>
      <c r="D115" s="256">
        <v>15</v>
      </c>
      <c r="E115" s="266" t="s">
        <v>424</v>
      </c>
      <c r="F115" s="266" t="s">
        <v>426</v>
      </c>
      <c r="G115" s="257" t="s">
        <v>449</v>
      </c>
      <c r="H115" s="252">
        <v>70</v>
      </c>
      <c r="I115" s="267">
        <v>75</v>
      </c>
      <c r="J115" s="267" t="s">
        <v>340</v>
      </c>
      <c r="M115" s="12"/>
    </row>
    <row r="116" spans="1:13">
      <c r="A116" s="268" t="s">
        <v>561</v>
      </c>
      <c r="B116" s="266" t="s">
        <v>424</v>
      </c>
      <c r="C116" s="255">
        <v>2</v>
      </c>
      <c r="D116" s="256">
        <v>6</v>
      </c>
      <c r="E116" s="266" t="s">
        <v>424</v>
      </c>
      <c r="F116" s="266" t="s">
        <v>424</v>
      </c>
      <c r="G116" s="257" t="s">
        <v>449</v>
      </c>
      <c r="H116" s="252">
        <v>70</v>
      </c>
      <c r="I116" s="267">
        <v>75</v>
      </c>
      <c r="J116" s="267" t="s">
        <v>455</v>
      </c>
      <c r="M116" s="12"/>
    </row>
    <row r="117" spans="1:13">
      <c r="A117" s="268" t="s">
        <v>562</v>
      </c>
      <c r="B117" s="266" t="s">
        <v>424</v>
      </c>
      <c r="C117" s="255">
        <v>2</v>
      </c>
      <c r="D117" s="256">
        <v>6</v>
      </c>
      <c r="E117" s="266" t="s">
        <v>424</v>
      </c>
      <c r="F117" s="266" t="s">
        <v>424</v>
      </c>
      <c r="G117" s="257" t="s">
        <v>430</v>
      </c>
      <c r="H117" s="252">
        <v>70</v>
      </c>
      <c r="I117" s="267">
        <v>75</v>
      </c>
      <c r="J117" s="267" t="s">
        <v>467</v>
      </c>
      <c r="M117" s="12"/>
    </row>
    <row r="118" spans="1:13">
      <c r="A118" s="268" t="s">
        <v>563</v>
      </c>
      <c r="B118" s="266" t="s">
        <v>429</v>
      </c>
      <c r="C118" s="255">
        <v>2</v>
      </c>
      <c r="D118" s="256">
        <v>12</v>
      </c>
      <c r="E118" s="266" t="s">
        <v>425</v>
      </c>
      <c r="F118" s="266" t="s">
        <v>424</v>
      </c>
      <c r="G118" s="257" t="s">
        <v>430</v>
      </c>
      <c r="H118" s="252">
        <v>70</v>
      </c>
      <c r="I118" s="267">
        <v>75</v>
      </c>
      <c r="J118" s="267" t="s">
        <v>461</v>
      </c>
      <c r="M118" s="12"/>
    </row>
    <row r="119" spans="1:13">
      <c r="A119" s="268" t="s">
        <v>564</v>
      </c>
      <c r="B119" s="266" t="s">
        <v>424</v>
      </c>
      <c r="C119" s="255">
        <v>2</v>
      </c>
      <c r="D119" s="256">
        <v>6</v>
      </c>
      <c r="E119" s="266" t="s">
        <v>424</v>
      </c>
      <c r="F119" s="266" t="s">
        <v>424</v>
      </c>
      <c r="G119" s="257" t="s">
        <v>424</v>
      </c>
      <c r="H119" s="252" t="s">
        <v>424</v>
      </c>
      <c r="I119" s="252" t="s">
        <v>424</v>
      </c>
      <c r="J119" s="267"/>
      <c r="M119" s="12"/>
    </row>
    <row r="120" spans="1:13">
      <c r="A120" s="268" t="s">
        <v>565</v>
      </c>
      <c r="B120" s="266" t="s">
        <v>424</v>
      </c>
      <c r="C120" s="255">
        <v>2</v>
      </c>
      <c r="D120" s="256">
        <v>2</v>
      </c>
      <c r="E120" s="266" t="s">
        <v>424</v>
      </c>
      <c r="F120" s="266" t="s">
        <v>424</v>
      </c>
      <c r="G120" s="257" t="s">
        <v>424</v>
      </c>
      <c r="H120" s="252" t="s">
        <v>424</v>
      </c>
      <c r="I120" s="252" t="s">
        <v>424</v>
      </c>
      <c r="J120" s="267"/>
      <c r="M120" s="12"/>
    </row>
    <row r="121" spans="1:13">
      <c r="A121" s="268" t="s">
        <v>566</v>
      </c>
      <c r="B121" s="266" t="s">
        <v>429</v>
      </c>
      <c r="C121" s="255">
        <v>2</v>
      </c>
      <c r="D121" s="256">
        <v>12</v>
      </c>
      <c r="E121" s="266" t="s">
        <v>425</v>
      </c>
      <c r="F121" s="266" t="s">
        <v>426</v>
      </c>
      <c r="G121" s="257" t="s">
        <v>424</v>
      </c>
      <c r="H121" s="252" t="s">
        <v>424</v>
      </c>
      <c r="I121" s="252" t="s">
        <v>424</v>
      </c>
      <c r="J121" s="267"/>
      <c r="M121" s="12"/>
    </row>
    <row r="122" spans="1:13">
      <c r="A122" s="268" t="s">
        <v>567</v>
      </c>
      <c r="B122" s="266" t="s">
        <v>429</v>
      </c>
      <c r="C122" s="255">
        <v>2</v>
      </c>
      <c r="D122" s="256">
        <v>10</v>
      </c>
      <c r="E122" s="266" t="s">
        <v>425</v>
      </c>
      <c r="F122" s="266" t="s">
        <v>424</v>
      </c>
      <c r="G122" s="257" t="s">
        <v>424</v>
      </c>
      <c r="H122" s="252" t="s">
        <v>424</v>
      </c>
      <c r="I122" s="252" t="s">
        <v>424</v>
      </c>
      <c r="J122" s="267" t="s">
        <v>461</v>
      </c>
      <c r="M122" s="12"/>
    </row>
    <row r="123" spans="1:13">
      <c r="A123" s="268" t="s">
        <v>568</v>
      </c>
      <c r="B123" s="266" t="s">
        <v>429</v>
      </c>
      <c r="C123" s="255" t="s">
        <v>424</v>
      </c>
      <c r="D123" s="256">
        <v>10</v>
      </c>
      <c r="E123" s="266" t="s">
        <v>425</v>
      </c>
      <c r="F123" s="266" t="s">
        <v>426</v>
      </c>
      <c r="G123" s="257" t="s">
        <v>424</v>
      </c>
      <c r="H123" s="252" t="s">
        <v>424</v>
      </c>
      <c r="I123" s="252" t="s">
        <v>424</v>
      </c>
      <c r="J123" s="267"/>
      <c r="M123" s="12"/>
    </row>
    <row r="124" spans="1:13">
      <c r="A124" s="268" t="s">
        <v>569</v>
      </c>
      <c r="B124" s="266" t="s">
        <v>424</v>
      </c>
      <c r="C124" s="255">
        <v>2</v>
      </c>
      <c r="D124" s="256">
        <v>6</v>
      </c>
      <c r="E124" s="266" t="s">
        <v>424</v>
      </c>
      <c r="F124" s="266" t="s">
        <v>426</v>
      </c>
      <c r="G124" s="257" t="s">
        <v>570</v>
      </c>
      <c r="H124" s="252">
        <v>70</v>
      </c>
      <c r="I124" s="267">
        <v>75</v>
      </c>
      <c r="J124" s="267"/>
      <c r="M124" s="12"/>
    </row>
    <row r="125" spans="1:13">
      <c r="A125" s="269" t="s">
        <v>571</v>
      </c>
      <c r="B125" s="266" t="s">
        <v>424</v>
      </c>
      <c r="C125" s="255">
        <v>2</v>
      </c>
      <c r="D125" s="256">
        <v>6</v>
      </c>
      <c r="E125" s="266" t="s">
        <v>424</v>
      </c>
      <c r="F125" s="266" t="s">
        <v>424</v>
      </c>
      <c r="G125" s="257" t="s">
        <v>430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410</v>
      </c>
      <c r="C126" s="255" t="s">
        <v>410</v>
      </c>
      <c r="D126" s="256" t="s">
        <v>410</v>
      </c>
      <c r="E126" s="266" t="s">
        <v>410</v>
      </c>
      <c r="F126" s="266" t="s">
        <v>410</v>
      </c>
      <c r="G126" s="257" t="s">
        <v>410</v>
      </c>
      <c r="H126" s="267" t="s">
        <v>410</v>
      </c>
      <c r="I126" s="267" t="s">
        <v>410</v>
      </c>
      <c r="J126" s="267"/>
      <c r="M126" s="12"/>
    </row>
    <row r="127" spans="1:13">
      <c r="A127" s="269" t="s">
        <v>572</v>
      </c>
      <c r="B127" s="266" t="s">
        <v>433</v>
      </c>
      <c r="C127" s="255">
        <v>3</v>
      </c>
      <c r="D127" s="256">
        <v>15</v>
      </c>
      <c r="E127" s="266" t="s">
        <v>424</v>
      </c>
      <c r="F127" s="266" t="s">
        <v>426</v>
      </c>
      <c r="G127" s="257" t="s">
        <v>430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573</v>
      </c>
      <c r="G5" s="380" t="s">
        <v>574</v>
      </c>
      <c r="H5" s="380"/>
      <c r="I5" s="380"/>
    </row>
    <row r="6" spans="2:9">
      <c r="G6" s="11" t="s">
        <v>575</v>
      </c>
      <c r="H6" s="89" t="s">
        <v>576</v>
      </c>
      <c r="I6" s="11" t="s">
        <v>51</v>
      </c>
    </row>
    <row r="7" spans="2:9" ht="13.8">
      <c r="B7" s="381" t="s">
        <v>744</v>
      </c>
      <c r="C7" s="382"/>
      <c r="D7" s="382"/>
      <c r="E7" s="382"/>
      <c r="G7" s="11" t="s">
        <v>577</v>
      </c>
      <c r="H7" s="89" t="s">
        <v>578</v>
      </c>
      <c r="I7" s="11" t="s">
        <v>579</v>
      </c>
    </row>
    <row r="8" spans="2:9" ht="13.8">
      <c r="B8" s="5" t="s">
        <v>743</v>
      </c>
      <c r="C8" s="5" t="s">
        <v>52</v>
      </c>
      <c r="D8" s="6" t="s">
        <v>580</v>
      </c>
      <c r="E8" s="6" t="s">
        <v>581</v>
      </c>
      <c r="G8" s="11" t="s">
        <v>582</v>
      </c>
      <c r="H8" s="89" t="s">
        <v>583</v>
      </c>
      <c r="I8" s="11" t="s">
        <v>584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585</v>
      </c>
      <c r="I9" s="90" t="s">
        <v>586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587</v>
      </c>
      <c r="I10" s="90" t="s">
        <v>588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589</v>
      </c>
      <c r="I11" s="90" t="s">
        <v>590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591</v>
      </c>
      <c r="I12" s="90" t="s">
        <v>592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593</v>
      </c>
      <c r="I13" s="90" t="s">
        <v>594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595</v>
      </c>
      <c r="I14" s="90" t="s">
        <v>596</v>
      </c>
    </row>
    <row r="15" spans="2:9">
      <c r="G15" t="s">
        <v>597</v>
      </c>
      <c r="I15" s="90" t="s">
        <v>598</v>
      </c>
    </row>
    <row r="16" spans="2:9" ht="26.4">
      <c r="B16" s="379" t="s">
        <v>599</v>
      </c>
      <c r="C16" s="379"/>
      <c r="D16" s="379"/>
      <c r="E16" s="379"/>
      <c r="F16" s="379"/>
      <c r="G16" t="s">
        <v>600</v>
      </c>
      <c r="I16" s="90" t="s">
        <v>601</v>
      </c>
    </row>
    <row r="17" spans="2:9">
      <c r="B17" s="87" t="s">
        <v>602</v>
      </c>
      <c r="C17" s="88" cm="1">
        <f t="array" ref="C17">GetStandardAtmPressure(INPUT_OUTPUTS!$G$6)</f>
        <v>13.664497020750565</v>
      </c>
      <c r="D17" s="87" t="s">
        <v>603</v>
      </c>
      <c r="E17" s="87"/>
      <c r="F17" s="87"/>
      <c r="G17" t="s">
        <v>604</v>
      </c>
      <c r="I17" s="90" t="s">
        <v>605</v>
      </c>
    </row>
    <row r="18" spans="2:9" ht="26.4">
      <c r="B18" s="87" t="s">
        <v>606</v>
      </c>
      <c r="C18" s="88" cm="1">
        <f t="array" ref="C18">GetDryAirDensity(75,$C$17)</f>
        <v>6.8982019074350975E-2</v>
      </c>
      <c r="D18" s="87" t="s">
        <v>607</v>
      </c>
      <c r="E18" s="87"/>
      <c r="F18" s="87"/>
      <c r="G18" t="s">
        <v>608</v>
      </c>
      <c r="I18" s="90" t="s">
        <v>609</v>
      </c>
    </row>
    <row r="19" spans="2:9" ht="26.4">
      <c r="B19" s="87" t="s">
        <v>610</v>
      </c>
      <c r="C19" s="88">
        <f>C18*60*0.24</f>
        <v>0.99334107467065391</v>
      </c>
      <c r="D19" s="87"/>
      <c r="E19" s="87"/>
      <c r="F19" s="87"/>
      <c r="G19" t="s">
        <v>611</v>
      </c>
      <c r="I19" s="90" t="s">
        <v>612</v>
      </c>
    </row>
    <row r="20" spans="2:9">
      <c r="B20" s="87" t="s">
        <v>613</v>
      </c>
      <c r="C20" s="88">
        <f>$C$18*60</f>
        <v>4.1389211444610581</v>
      </c>
      <c r="D20" s="87"/>
      <c r="E20" s="87"/>
      <c r="F20" s="87"/>
      <c r="G20" t="s">
        <v>614</v>
      </c>
      <c r="I20" s="90" t="s">
        <v>615</v>
      </c>
    </row>
    <row r="21" spans="2:9" ht="26.4">
      <c r="G21" t="s">
        <v>616</v>
      </c>
      <c r="I21" s="90" t="s">
        <v>617</v>
      </c>
    </row>
    <row r="22" spans="2:9" ht="26.4">
      <c r="B22" s="87" t="s">
        <v>755</v>
      </c>
      <c r="G22" t="s">
        <v>618</v>
      </c>
      <c r="I22" s="90" t="s">
        <v>619</v>
      </c>
    </row>
    <row r="23" spans="2:9">
      <c r="B23" s="11" t="s">
        <v>756</v>
      </c>
      <c r="G23" t="s">
        <v>620</v>
      </c>
      <c r="I23" s="90" t="s">
        <v>621</v>
      </c>
    </row>
    <row r="24" spans="2:9">
      <c r="B24" s="11" t="s">
        <v>757</v>
      </c>
      <c r="G24" t="s">
        <v>622</v>
      </c>
      <c r="I24" s="90" t="s">
        <v>623</v>
      </c>
    </row>
    <row r="25" spans="2:9">
      <c r="G25" t="s">
        <v>624</v>
      </c>
      <c r="I25" s="90" t="s">
        <v>625</v>
      </c>
    </row>
    <row r="26" spans="2:9" ht="26.4">
      <c r="G26" t="s">
        <v>626</v>
      </c>
      <c r="I26" s="90" t="s">
        <v>627</v>
      </c>
    </row>
    <row r="27" spans="2:9">
      <c r="G27" t="s">
        <v>628</v>
      </c>
      <c r="I27" s="90" t="s">
        <v>629</v>
      </c>
    </row>
    <row r="28" spans="2:9">
      <c r="D28" s="11"/>
      <c r="G28" t="s">
        <v>630</v>
      </c>
      <c r="I28" s="90" t="s">
        <v>631</v>
      </c>
    </row>
    <row r="29" spans="2:9">
      <c r="G29" t="s">
        <v>632</v>
      </c>
      <c r="I29" s="90" t="s">
        <v>633</v>
      </c>
    </row>
    <row r="30" spans="2:9">
      <c r="G30" t="s">
        <v>634</v>
      </c>
      <c r="I30" s="90" t="s">
        <v>635</v>
      </c>
    </row>
    <row r="31" spans="2:9">
      <c r="G31" t="s">
        <v>636</v>
      </c>
      <c r="I31" s="90" t="s">
        <v>637</v>
      </c>
    </row>
    <row r="32" spans="2:9">
      <c r="G32" t="s">
        <v>638</v>
      </c>
      <c r="I32" s="90" t="s">
        <v>639</v>
      </c>
    </row>
    <row r="33" spans="7:9">
      <c r="G33" t="s">
        <v>640</v>
      </c>
      <c r="I33" s="90" t="s">
        <v>641</v>
      </c>
    </row>
    <row r="34" spans="7:9">
      <c r="G34" t="s">
        <v>642</v>
      </c>
      <c r="I34" s="90" t="s">
        <v>643</v>
      </c>
    </row>
    <row r="35" spans="7:9">
      <c r="G35" t="s">
        <v>644</v>
      </c>
      <c r="I35" s="90" t="s">
        <v>645</v>
      </c>
    </row>
    <row r="36" spans="7:9">
      <c r="G36" t="s">
        <v>646</v>
      </c>
      <c r="I36" s="90" t="s">
        <v>647</v>
      </c>
    </row>
    <row r="37" spans="7:9">
      <c r="G37" t="s">
        <v>648</v>
      </c>
      <c r="I37" s="90" t="s">
        <v>649</v>
      </c>
    </row>
    <row r="38" spans="7:9">
      <c r="G38" t="s">
        <v>650</v>
      </c>
      <c r="I38" s="90" t="s">
        <v>651</v>
      </c>
    </row>
    <row r="39" spans="7:9" ht="26.4">
      <c r="G39" t="s">
        <v>652</v>
      </c>
      <c r="I39" s="90" t="s">
        <v>653</v>
      </c>
    </row>
    <row r="40" spans="7:9" ht="39.6">
      <c r="G40" t="s">
        <v>654</v>
      </c>
      <c r="I40" s="90" t="s">
        <v>655</v>
      </c>
    </row>
    <row r="41" spans="7:9">
      <c r="G41" t="s">
        <v>656</v>
      </c>
      <c r="I41" s="90" t="s">
        <v>657</v>
      </c>
    </row>
    <row r="42" spans="7:9" ht="26.4">
      <c r="G42" t="s">
        <v>658</v>
      </c>
      <c r="I42" s="90" t="s">
        <v>659</v>
      </c>
    </row>
    <row r="43" spans="7:9" ht="26.4">
      <c r="G43" t="s">
        <v>660</v>
      </c>
      <c r="I43" s="90" t="s">
        <v>661</v>
      </c>
    </row>
    <row r="44" spans="7:9">
      <c r="G44" t="s">
        <v>662</v>
      </c>
      <c r="I44" s="90" t="s">
        <v>663</v>
      </c>
    </row>
    <row r="45" spans="7:9">
      <c r="G45" t="s">
        <v>664</v>
      </c>
      <c r="I45" s="90" t="s">
        <v>665</v>
      </c>
    </row>
    <row r="46" spans="7:9">
      <c r="G46" t="s">
        <v>666</v>
      </c>
      <c r="I46" s="90" t="s">
        <v>667</v>
      </c>
    </row>
    <row r="47" spans="7:9" ht="26.4">
      <c r="G47" t="s">
        <v>668</v>
      </c>
      <c r="I47" s="90" t="s">
        <v>669</v>
      </c>
    </row>
    <row r="48" spans="7:9">
      <c r="G48" t="s">
        <v>670</v>
      </c>
      <c r="I48" s="90" t="s">
        <v>671</v>
      </c>
    </row>
    <row r="49" spans="7:9" ht="39.6">
      <c r="G49" t="s">
        <v>672</v>
      </c>
      <c r="I49" s="90" t="s">
        <v>673</v>
      </c>
    </row>
    <row r="50" spans="7:9" ht="39.6">
      <c r="G50" t="s">
        <v>674</v>
      </c>
      <c r="I50" s="90" t="s">
        <v>675</v>
      </c>
    </row>
    <row r="51" spans="7:9" ht="39.6">
      <c r="G51" t="s">
        <v>676</v>
      </c>
      <c r="I51" s="90" t="s">
        <v>677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0.xml>�� 
</file>

<file path=customXml/item11.xml>�� 
</file>

<file path=customXml/item12.xml>�� 
</file>

<file path=customXml/item13.xml>�� 
</file>

<file path=customXml/item14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5.xml>�� � � � � � � � � � � � � � � � � � � � � � � � � � �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202CCF7-04C4-426D-A15B-FCB4AAD73971}">
  <ds:schemaRefs/>
</ds:datastoreItem>
</file>

<file path=customXml/itemProps2.xml><?xml version="1.0" encoding="utf-8"?>
<ds:datastoreItem xmlns:ds="http://schemas.openxmlformats.org/officeDocument/2006/customXml" ds:itemID="{D850471A-0CDE-4413-A0DB-4B7F901D2BD9}">
  <ds:schemaRefs/>
</ds:datastoreItem>
</file>

<file path=customXml/itemProps3.xml><?xml version="1.0" encoding="utf-8"?>
<ds:datastoreItem xmlns:ds="http://schemas.openxmlformats.org/officeDocument/2006/customXml" ds:itemID="{E75927D6-4CFF-4134-B821-644F60184EB2}">
  <ds:schemaRefs/>
</ds:datastoreItem>
</file>

<file path=customXml/itemProps4.xml><?xml version="1.0" encoding="utf-8"?>
<ds:datastoreItem xmlns:ds="http://schemas.openxmlformats.org/officeDocument/2006/customXml" ds:itemID="{92114E93-BF99-481B-8587-DAE6BA6DE52A}">
  <ds:schemaRefs/>
</ds:datastoreItem>
</file>

<file path=customXml/itemProps5.xml><?xml version="1.0" encoding="utf-8"?>
<ds:datastoreItem xmlns:ds="http://schemas.openxmlformats.org/officeDocument/2006/customXml" ds:itemID="{E99A482B-E5E1-49A2-BB12-907608BC0E09}">
  <ds:schemaRefs/>
</ds:datastoreItem>
</file>

<file path=customXml/itemProps6.xml><?xml version="1.0" encoding="utf-8"?>
<ds:datastoreItem xmlns:ds="http://schemas.openxmlformats.org/officeDocument/2006/customXml" ds:itemID="{0F7AA644-22B3-4EF8-B9C4-D3F5557CFEE3}">
  <ds:schemaRefs/>
</ds:datastoreItem>
</file>

<file path=customXml/itemProps7.xml><?xml version="1.0" encoding="utf-8"?>
<ds:datastoreItem xmlns:ds="http://schemas.openxmlformats.org/officeDocument/2006/customXml" ds:itemID="{2ACA1A40-4F6D-4B0C-91AA-28C30B17735D}">
  <ds:schemaRefs/>
</ds:datastoreItem>
</file>

<file path=customXml/itemProps8.xml><?xml version="1.0" encoding="utf-8"?>
<ds:datastoreItem xmlns:ds="http://schemas.openxmlformats.org/officeDocument/2006/customXml" ds:itemID="{6D507B4B-C9ED-44F3-8037-6886F3127BF6}">
  <ds:schemaRefs/>
</ds:datastoreItem>
</file>

<file path=customXml/itemProps9.xml><?xml version="1.0" encoding="utf-8"?>
<ds:datastoreItem xmlns:ds="http://schemas.openxmlformats.org/officeDocument/2006/customXml" ds:itemID="{EB08F863-D170-47EA-A84C-83549087351D}">
  <ds:schemaRefs/>
</ds:datastoreItem>
</file>

<file path=customXml/itemProps10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73E72D33-8CDB-48B3-81B1-83AB753555E6}">
  <ds:schemaRefs/>
</ds:datastoreItem>
</file>

<file path=customXml/itemProps12.xml><?xml version="1.0" encoding="utf-8"?>
<ds:datastoreItem xmlns:ds="http://schemas.openxmlformats.org/officeDocument/2006/customXml" ds:itemID="{B879EA12-6ED4-4302-8229-16FB2C15B211}">
  <ds:schemaRefs/>
</ds:datastoreItem>
</file>

<file path=customXml/itemProps13.xml><?xml version="1.0" encoding="utf-8"?>
<ds:datastoreItem xmlns:ds="http://schemas.openxmlformats.org/officeDocument/2006/customXml" ds:itemID="{CB84C39A-D797-4B6B-905F-6C86027DD256}">
  <ds:schemaRefs/>
</ds:datastoreItem>
</file>

<file path=customXml/itemProps14.xml><?xml version="1.0" encoding="utf-8"?>
<ds:datastoreItem xmlns:ds="http://schemas.openxmlformats.org/officeDocument/2006/customXml" ds:itemID="{3F31C53F-DFA4-4BD6-960C-02D3696858DE}">
  <ds:schemaRefs/>
</ds:datastoreItem>
</file>

<file path=customXml/itemProps15.xml><?xml version="1.0" encoding="utf-8"?>
<ds:datastoreItem xmlns:ds="http://schemas.openxmlformats.org/officeDocument/2006/customXml" ds:itemID="{B9C24CED-5D5E-4E5B-B592-42D9FEBCEE78}">
  <ds:schemaRefs/>
</ds:datastoreItem>
</file>

<file path=customXml/itemProps16.xml><?xml version="1.0" encoding="utf-8"?>
<ds:datastoreItem xmlns:ds="http://schemas.openxmlformats.org/officeDocument/2006/customXml" ds:itemID="{C6A71342-598D-44A1-871B-880BDE6775E5}">
  <ds:schemaRefs/>
</ds:datastoreItem>
</file>

<file path=customXml/itemProps17.xml><?xml version="1.0" encoding="utf-8"?>
<ds:datastoreItem xmlns:ds="http://schemas.openxmlformats.org/officeDocument/2006/customXml" ds:itemID="{1CB8CE2C-68EE-453A-B6B9-954186C78856}">
  <ds:schemaRefs/>
</ds:datastoreItem>
</file>

<file path=customXml/itemProps18.xml><?xml version="1.0" encoding="utf-8"?>
<ds:datastoreItem xmlns:ds="http://schemas.openxmlformats.org/officeDocument/2006/customXml" ds:itemID="{266B7FBF-DD56-45E8-82C2-2D120A01DE6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INPUT_OUTPUTS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FCU_SCHEDULES</vt:lpstr>
      <vt:lpstr>CH_and_Boiler_Schedule </vt:lpstr>
      <vt:lpstr>Misc Rooms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2024-03-03T18:59:22Z</dcterms:modified>
  <cp:category/>
  <cp:contentStatus/>
</cp:coreProperties>
</file>