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8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tables/table9.xml" ContentType="application/vnd.openxmlformats-officedocument.spreadsheetml.table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Git Projects\PsychroCalc\"/>
    </mc:Choice>
  </mc:AlternateContent>
  <xr:revisionPtr revIDLastSave="0" documentId="13_ncr:1_{DDF0D5AB-23C5-4B93-A24E-B7AC0535A714}" xr6:coauthVersionLast="47" xr6:coauthVersionMax="47" xr10:uidLastSave="{00000000-0000-0000-0000-000000000000}"/>
  <bookViews>
    <workbookView xWindow="-108" yWindow="-108" windowWidth="23256" windowHeight="13896" activeTab="7" xr2:uid="{00000000-000D-0000-FFFF-FFFF00000000}"/>
  </bookViews>
  <sheets>
    <sheet name="INPUT_OUTPUTS" sheetId="64" r:id="rId1"/>
    <sheet name="AshraeTable4a" sheetId="111" state="hidden" r:id="rId2"/>
    <sheet name="CAV_SCHEDULES" sheetId="129" state="hidden" r:id="rId3"/>
    <sheet name="62.1_MULTI_ZONE" sheetId="107" r:id="rId4"/>
    <sheet name="VAV_SCHEDULES" sheetId="120" state="hidden" r:id="rId5"/>
    <sheet name="Room Temperature" sheetId="119" state="hidden" r:id="rId6"/>
    <sheet name="AHU_SCHEDULES" sheetId="45" r:id="rId7"/>
    <sheet name="62.1_SINGLE_ZONE" sheetId="104" r:id="rId8"/>
    <sheet name="FCU_SCHEDULES" sheetId="118" state="hidden" r:id="rId9"/>
    <sheet name="CH_and_Boiler_Schedule " sheetId="124" state="hidden" r:id="rId10"/>
    <sheet name="Misc Rooms" sheetId="116" state="hidden" r:id="rId11"/>
    <sheet name="ASHRAE Table" sheetId="105" state="hidden" r:id="rId12"/>
    <sheet name="UMC Table 4-A" sheetId="37" state="hidden" r:id="rId13"/>
    <sheet name="DO NOT TOUCH" sheetId="63" state="hidden" r:id="rId14"/>
  </sheets>
  <functionGroups builtInGroupCount="19"/>
  <definedNames>
    <definedName name="_CAV1" localSheetId="10">#REF!</definedName>
    <definedName name="_CAV1">#REF!</definedName>
    <definedName name="_CAV1." localSheetId="1">AshraeTable4a!#REF!</definedName>
    <definedName name="_CAV1." localSheetId="10">#REF!</definedName>
    <definedName name="_CAV1.">#REF!</definedName>
    <definedName name="_CAV2" localSheetId="10">#REF!</definedName>
    <definedName name="_CAV2">#REF!</definedName>
    <definedName name="_CAV3">#REF!</definedName>
    <definedName name="_CAV4">#REF!</definedName>
    <definedName name="_xlcn.WorksheetConnection_RevampedAHUPsycCalcsHCAI.xlsmAHU_Options1" hidden="1">AHU_Options[]</definedName>
    <definedName name="_xlcn.WorksheetConnection_RevampedAHUPsycCalcsHCAI.xlsmTable71" hidden="1">AHU_Schedules[]</definedName>
    <definedName name="AHU_1AC_AV" localSheetId="1">CAV_SCHEDULES!$A$2:$M$3</definedName>
    <definedName name="AHU_1AC_AV">#REF!</definedName>
    <definedName name="AHUs" localSheetId="3">AHU_Schedules[TAG]</definedName>
    <definedName name="CAV_1A_SCHEDULE" localSheetId="1">AshraeTable4a!#REF!</definedName>
    <definedName name="CAV_1A_SCHEDULE" localSheetId="10">#REF!</definedName>
    <definedName name="CAV_1A_SCHEDULE">#REF!</definedName>
    <definedName name="CAV_1B_SCHEDULE" localSheetId="10">#REF!</definedName>
    <definedName name="CAV_1B_SCHEDULE">#REF!</definedName>
    <definedName name="CAV_1C_SCHEDULE">#REF!</definedName>
    <definedName name="CAV_2_SCHEDULE">#REF!</definedName>
    <definedName name="CAV_3_SCHEDULE">#REF!</definedName>
    <definedName name="FCU" localSheetId="3">#REF!</definedName>
    <definedName name="FCU">#REF!</definedName>
    <definedName name="_xlnm.Print_Area" localSheetId="6">AHU_SCHEDULES!$A$8:$BB$13</definedName>
    <definedName name="_xlnm.Print_Area" localSheetId="1">AshraeTable4a!$D$3:$W$5</definedName>
    <definedName name="_xlnm.Print_Area" localSheetId="8">FCU_SCHEDULES!$A$8:$AC$13</definedName>
    <definedName name="_xlnm.Print_Area" localSheetId="12">'UMC Table 4-A'!$A$1:$E$132</definedName>
    <definedName name="_xlnm.Print_Titles" localSheetId="1">AshraeTable4a!$3:$4</definedName>
    <definedName name="_xlnm.Print_Titles" localSheetId="12">'UMC Table 4-A'!$A:$B,'UMC Table 4-A'!$1:$1</definedName>
    <definedName name="table_4_a">'UMC Table 4-A'!$A$2:$E$132</definedName>
    <definedName name="VENTILATION_SCHEDULE_AHU_3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" name="Table7" connection="WorksheetConnection_Revamped AHU Psyc Calcs (HCAI).xlsm!Table7"/>
          <x15:modelTable id="AHU_Options" name="AHU_Options" connection="WorksheetConnection_Revamped AHU Psyc Calcs (HCAI).xlsm!AHU_Options"/>
        </x15:modelTables>
        <x15:modelRelationships>
          <x15:modelRelationship fromTable="AHU_Options" fromColumn="AHU NAME" toTable="Table7" toColumn="TAG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7" i="104" l="1"/>
  <c r="U8" i="104"/>
  <c r="V7" i="104"/>
  <c r="V8" i="104"/>
  <c r="W7" i="104"/>
  <c r="W8" i="104"/>
  <c r="T7" i="104"/>
  <c r="T8" i="104"/>
  <c r="T6" i="104"/>
  <c r="AD6" i="107"/>
  <c r="AD7" i="107"/>
  <c r="AD8" i="107"/>
  <c r="AD9" i="107"/>
  <c r="AD10" i="107"/>
  <c r="AD11" i="107"/>
  <c r="AD12" i="107"/>
  <c r="AD13" i="107"/>
  <c r="AD14" i="107"/>
  <c r="AD15" i="107"/>
  <c r="AD16" i="107"/>
  <c r="AD17" i="107"/>
  <c r="AD5" i="107"/>
  <c r="K10" i="64"/>
  <c r="K9" i="64"/>
  <c r="AF17" i="107"/>
  <c r="AE17" i="107"/>
  <c r="AG17" i="107" s="1"/>
  <c r="AA17" i="107"/>
  <c r="P17" i="107"/>
  <c r="M17" i="107"/>
  <c r="Q17" i="107" s="1"/>
  <c r="L17" i="107"/>
  <c r="O17" i="107" s="1"/>
  <c r="K17" i="107"/>
  <c r="G17" i="107"/>
  <c r="AF16" i="107"/>
  <c r="AE16" i="107"/>
  <c r="AG16" i="107" s="1"/>
  <c r="AA16" i="107"/>
  <c r="P16" i="107"/>
  <c r="M16" i="107"/>
  <c r="Q16" i="107" s="1"/>
  <c r="V16" i="107" s="1"/>
  <c r="X16" i="107" s="1"/>
  <c r="L16" i="107"/>
  <c r="O16" i="107" s="1"/>
  <c r="K16" i="107"/>
  <c r="G16" i="107"/>
  <c r="AF15" i="107"/>
  <c r="AE15" i="107"/>
  <c r="AG15" i="107" s="1"/>
  <c r="AA15" i="107"/>
  <c r="P15" i="107"/>
  <c r="M15" i="107"/>
  <c r="Q15" i="107" s="1"/>
  <c r="L15" i="107"/>
  <c r="O15" i="107" s="1"/>
  <c r="K15" i="107"/>
  <c r="V15" i="107" s="1"/>
  <c r="X15" i="107" s="1"/>
  <c r="G15" i="107"/>
  <c r="AF14" i="107"/>
  <c r="AE14" i="107"/>
  <c r="AG14" i="107" s="1"/>
  <c r="AA14" i="107"/>
  <c r="P14" i="107"/>
  <c r="M14" i="107"/>
  <c r="Q14" i="107" s="1"/>
  <c r="L14" i="107"/>
  <c r="O14" i="107" s="1"/>
  <c r="K14" i="107"/>
  <c r="G14" i="107"/>
  <c r="AF13" i="107"/>
  <c r="AE13" i="107"/>
  <c r="AG13" i="107" s="1"/>
  <c r="AA13" i="107"/>
  <c r="P13" i="107"/>
  <c r="M13" i="107"/>
  <c r="Q13" i="107" s="1"/>
  <c r="L13" i="107"/>
  <c r="O13" i="107" s="1"/>
  <c r="K13" i="107"/>
  <c r="G13" i="107"/>
  <c r="AF12" i="107"/>
  <c r="AE12" i="107"/>
  <c r="AG12" i="107" s="1"/>
  <c r="AA12" i="107"/>
  <c r="P12" i="107"/>
  <c r="M12" i="107"/>
  <c r="Q12" i="107" s="1"/>
  <c r="L12" i="107"/>
  <c r="O12" i="107" s="1"/>
  <c r="K12" i="107"/>
  <c r="G12" i="107"/>
  <c r="AF11" i="107"/>
  <c r="AE11" i="107"/>
  <c r="AG11" i="107" s="1"/>
  <c r="AA11" i="107"/>
  <c r="P11" i="107"/>
  <c r="M11" i="107"/>
  <c r="Q11" i="107" s="1"/>
  <c r="V11" i="107" s="1"/>
  <c r="X11" i="107" s="1"/>
  <c r="L11" i="107"/>
  <c r="O11" i="107" s="1"/>
  <c r="K11" i="107"/>
  <c r="G11" i="107"/>
  <c r="AF10" i="107"/>
  <c r="AE10" i="107"/>
  <c r="AG10" i="107" s="1"/>
  <c r="AA10" i="107"/>
  <c r="P10" i="107"/>
  <c r="M10" i="107"/>
  <c r="Q10" i="107" s="1"/>
  <c r="L10" i="107"/>
  <c r="O10" i="107" s="1"/>
  <c r="K10" i="107"/>
  <c r="G10" i="107"/>
  <c r="AF9" i="107"/>
  <c r="AE9" i="107"/>
  <c r="AG9" i="107" s="1"/>
  <c r="AA9" i="107"/>
  <c r="P9" i="107"/>
  <c r="M9" i="107"/>
  <c r="Q9" i="107" s="1"/>
  <c r="L9" i="107"/>
  <c r="O9" i="107" s="1"/>
  <c r="K9" i="107"/>
  <c r="V9" i="107" s="1"/>
  <c r="X9" i="107" s="1"/>
  <c r="G9" i="107"/>
  <c r="AF8" i="107"/>
  <c r="AE8" i="107"/>
  <c r="AG8" i="107" s="1"/>
  <c r="AA8" i="107"/>
  <c r="P8" i="107"/>
  <c r="M8" i="107"/>
  <c r="Q8" i="107" s="1"/>
  <c r="L8" i="107"/>
  <c r="O8" i="107" s="1"/>
  <c r="K8" i="107"/>
  <c r="G8" i="107"/>
  <c r="AF7" i="107"/>
  <c r="AE7" i="107"/>
  <c r="AG7" i="107" s="1"/>
  <c r="AA7" i="107"/>
  <c r="P7" i="107"/>
  <c r="M7" i="107"/>
  <c r="L7" i="107"/>
  <c r="O7" i="107" s="1"/>
  <c r="K7" i="107"/>
  <c r="G7" i="107"/>
  <c r="G6" i="107"/>
  <c r="K6" i="107"/>
  <c r="L6" i="107"/>
  <c r="O6" i="107" s="1"/>
  <c r="M6" i="107"/>
  <c r="Q6" i="107" s="1"/>
  <c r="P6" i="107"/>
  <c r="AA6" i="107"/>
  <c r="AE6" i="107"/>
  <c r="AF6" i="107"/>
  <c r="S26" i="105"/>
  <c r="AI7" i="107" a="1"/>
  <c r="AI17" i="107" a="1"/>
  <c r="AI8" i="107" a="1"/>
  <c r="AI9" i="107" a="1"/>
  <c r="AI10" i="107" a="1"/>
  <c r="AI11" i="107" a="1"/>
  <c r="AI12" i="107" a="1"/>
  <c r="AI14" i="107" a="1"/>
  <c r="AI15" i="107" a="1"/>
  <c r="AI16" i="107" a="1"/>
  <c r="AI13" i="107" a="1"/>
  <c r="Z11" i="107" a="1"/>
  <c r="Z16" i="107" a="1"/>
  <c r="AI13" i="107" l="1"/>
  <c r="AI16" i="107"/>
  <c r="AI15" i="107"/>
  <c r="AI14" i="107"/>
  <c r="AI12" i="107"/>
  <c r="AI11" i="107"/>
  <c r="AI10" i="107"/>
  <c r="AI9" i="107"/>
  <c r="AI8" i="107"/>
  <c r="AI17" i="107"/>
  <c r="AI7" i="107"/>
  <c r="N16" i="107"/>
  <c r="V14" i="107"/>
  <c r="X14" i="107" s="1"/>
  <c r="V10" i="107"/>
  <c r="X10" i="107" s="1"/>
  <c r="N11" i="107"/>
  <c r="V13" i="107"/>
  <c r="X13" i="107" s="1"/>
  <c r="Z11" i="107"/>
  <c r="Z16" i="107"/>
  <c r="N8" i="107"/>
  <c r="V17" i="107"/>
  <c r="X17" i="107" s="1"/>
  <c r="N13" i="107"/>
  <c r="V8" i="107"/>
  <c r="X8" i="107" s="1"/>
  <c r="V12" i="107"/>
  <c r="X12" i="107" s="1"/>
  <c r="N10" i="107"/>
  <c r="N12" i="107"/>
  <c r="N17" i="107"/>
  <c r="N14" i="107"/>
  <c r="N15" i="107"/>
  <c r="N9" i="107"/>
  <c r="N7" i="107"/>
  <c r="Q7" i="107"/>
  <c r="V7" i="107" s="1"/>
  <c r="X7" i="107" s="1"/>
  <c r="AG6" i="107"/>
  <c r="N6" i="107"/>
  <c r="V6" i="107"/>
  <c r="X6" i="107" s="1"/>
  <c r="Q3" i="129"/>
  <c r="P3" i="129"/>
  <c r="N3" i="129"/>
  <c r="J3" i="129"/>
  <c r="I3" i="129"/>
  <c r="H3" i="129"/>
  <c r="G3" i="129"/>
  <c r="F3" i="129"/>
  <c r="P2" i="129"/>
  <c r="H2" i="129"/>
  <c r="G2" i="129"/>
  <c r="AK13" i="107" a="1"/>
  <c r="AK16" i="107" a="1"/>
  <c r="AK15" i="107" a="1"/>
  <c r="AK14" i="107" a="1"/>
  <c r="AK12" i="107" a="1"/>
  <c r="AK11" i="107" a="1"/>
  <c r="AK10" i="107" a="1"/>
  <c r="AK9" i="107" a="1"/>
  <c r="AK8" i="107" a="1"/>
  <c r="AK17" i="107" a="1"/>
  <c r="AK7" i="107" a="1"/>
  <c r="AI6" i="107" a="1"/>
  <c r="Z9" i="107" a="1"/>
  <c r="Z10" i="107" a="1"/>
  <c r="Z12" i="107" a="1"/>
  <c r="Z7" i="107" a="1"/>
  <c r="Z6" i="107" a="1"/>
  <c r="Z14" i="107" a="1"/>
  <c r="Z8" i="107" a="1"/>
  <c r="Z13" i="107" a="1"/>
  <c r="Z15" i="107" a="1"/>
  <c r="Z17" i="107" a="1"/>
  <c r="AK7" i="107" l="1"/>
  <c r="AK17" i="107"/>
  <c r="AK8" i="107"/>
  <c r="AK9" i="107"/>
  <c r="AK10" i="107"/>
  <c r="AK11" i="107"/>
  <c r="AK12" i="107"/>
  <c r="AK14" i="107"/>
  <c r="AK15" i="107"/>
  <c r="AK16" i="107"/>
  <c r="AK13" i="107"/>
  <c r="AI6" i="107"/>
  <c r="Z12" i="107"/>
  <c r="Z10" i="107"/>
  <c r="AJ13" i="107"/>
  <c r="AJ12" i="107"/>
  <c r="Z9" i="107"/>
  <c r="Z15" i="107"/>
  <c r="AJ10" i="107"/>
  <c r="Z17" i="107"/>
  <c r="Z13" i="107"/>
  <c r="Z8" i="107"/>
  <c r="AJ8" i="107"/>
  <c r="AJ14" i="107"/>
  <c r="AJ9" i="107"/>
  <c r="AJ16" i="107"/>
  <c r="AJ11" i="107"/>
  <c r="AJ17" i="107"/>
  <c r="Z14" i="107"/>
  <c r="AJ15" i="107"/>
  <c r="Z7" i="107"/>
  <c r="AJ7" i="107"/>
  <c r="Z6" i="107"/>
  <c r="AB6" i="107" s="1"/>
  <c r="G4" i="124"/>
  <c r="E11" i="124"/>
  <c r="F11" i="124"/>
  <c r="F4" i="124"/>
  <c r="E4" i="124"/>
  <c r="S3" i="120"/>
  <c r="R3" i="120"/>
  <c r="P3" i="120"/>
  <c r="L3" i="120"/>
  <c r="K3" i="120"/>
  <c r="J3" i="120"/>
  <c r="I3" i="120"/>
  <c r="G3" i="120"/>
  <c r="E3" i="120"/>
  <c r="F3" i="120" s="1"/>
  <c r="Q3" i="120" s="1"/>
  <c r="D3" i="120"/>
  <c r="H3" i="120" s="1"/>
  <c r="R2" i="120"/>
  <c r="J2" i="120"/>
  <c r="I2" i="120"/>
  <c r="AB12" i="118"/>
  <c r="AA12" i="118"/>
  <c r="W12" i="118"/>
  <c r="U12" i="118"/>
  <c r="T12" i="118"/>
  <c r="I12" i="118"/>
  <c r="H12" i="118"/>
  <c r="G12" i="118"/>
  <c r="J9" i="116"/>
  <c r="K9" i="116"/>
  <c r="L9" i="116"/>
  <c r="J10" i="116"/>
  <c r="K10" i="116"/>
  <c r="L10" i="116"/>
  <c r="J11" i="116"/>
  <c r="K11" i="116"/>
  <c r="L11" i="116"/>
  <c r="J12" i="116"/>
  <c r="K12" i="116"/>
  <c r="L12" i="116"/>
  <c r="J13" i="116"/>
  <c r="K13" i="116"/>
  <c r="L13" i="116"/>
  <c r="J14" i="116"/>
  <c r="K14" i="116"/>
  <c r="L14" i="116"/>
  <c r="J15" i="116"/>
  <c r="K15" i="116"/>
  <c r="L15" i="116"/>
  <c r="J16" i="116"/>
  <c r="K16" i="116"/>
  <c r="L16" i="116"/>
  <c r="J17" i="116"/>
  <c r="K17" i="116"/>
  <c r="L17" i="116"/>
  <c r="J18" i="116"/>
  <c r="K18" i="116"/>
  <c r="L18" i="116"/>
  <c r="J19" i="116"/>
  <c r="K19" i="116"/>
  <c r="L19" i="116"/>
  <c r="J20" i="116"/>
  <c r="K20" i="116"/>
  <c r="L20" i="116"/>
  <c r="J21" i="116"/>
  <c r="K21" i="116"/>
  <c r="L21" i="116"/>
  <c r="J22" i="116"/>
  <c r="K22" i="116"/>
  <c r="L22" i="116"/>
  <c r="AK6" i="107" a="1"/>
  <c r="AL7" i="107" a="1"/>
  <c r="AL13" i="107" a="1"/>
  <c r="AL12" i="107" a="1"/>
  <c r="AL10" i="107" a="1"/>
  <c r="AL8" i="107" a="1"/>
  <c r="AL14" i="107" a="1"/>
  <c r="AL9" i="107" a="1"/>
  <c r="AL16" i="107" a="1"/>
  <c r="AL11" i="107" a="1"/>
  <c r="AL17" i="107" a="1"/>
  <c r="AL15" i="107" a="1"/>
  <c r="P12" i="118" a="1"/>
  <c r="AK6" i="107" l="1"/>
  <c r="AJ6" i="107"/>
  <c r="AH6" i="107" s="1"/>
  <c r="AL15" i="107"/>
  <c r="AL17" i="107"/>
  <c r="AL11" i="107"/>
  <c r="AL16" i="107"/>
  <c r="AL9" i="107"/>
  <c r="AL14" i="107"/>
  <c r="AL8" i="107"/>
  <c r="AL10" i="107"/>
  <c r="AL12" i="107"/>
  <c r="AL13" i="107"/>
  <c r="AL7" i="107"/>
  <c r="AH12" i="107"/>
  <c r="AH13" i="107"/>
  <c r="AH17" i="107"/>
  <c r="AH15" i="107"/>
  <c r="AH11" i="107"/>
  <c r="AH16" i="107"/>
  <c r="AH9" i="107"/>
  <c r="AH14" i="107"/>
  <c r="AH8" i="107"/>
  <c r="AH10" i="107"/>
  <c r="AH7" i="107"/>
  <c r="M15" i="116"/>
  <c r="M18" i="116"/>
  <c r="M22" i="116"/>
  <c r="M21" i="116"/>
  <c r="M10" i="116"/>
  <c r="M3" i="120"/>
  <c r="N3" i="120" s="1"/>
  <c r="O3" i="120" s="1"/>
  <c r="M20" i="116"/>
  <c r="M19" i="116"/>
  <c r="X12" i="118"/>
  <c r="Z12" i="118" s="1"/>
  <c r="J12" i="118"/>
  <c r="P12" i="118"/>
  <c r="B13" i="118"/>
  <c r="M12" i="116"/>
  <c r="M11" i="116"/>
  <c r="M13" i="116"/>
  <c r="M9" i="116"/>
  <c r="M16" i="116"/>
  <c r="M14" i="116"/>
  <c r="M17" i="116"/>
  <c r="AL6" i="107" a="1"/>
  <c r="L12" i="118" a="1"/>
  <c r="AL6" i="107" l="1"/>
  <c r="AM6" i="107" s="1"/>
  <c r="AM8" i="107"/>
  <c r="AM9" i="107"/>
  <c r="AM17" i="107"/>
  <c r="AM16" i="107"/>
  <c r="AM10" i="107"/>
  <c r="AM15" i="107"/>
  <c r="AM12" i="107"/>
  <c r="AM11" i="107"/>
  <c r="AM14" i="107"/>
  <c r="AM13" i="107"/>
  <c r="AM7" i="107"/>
  <c r="Z13" i="118"/>
  <c r="AC12" i="118"/>
  <c r="AC13" i="118" s="1"/>
  <c r="M23" i="116"/>
  <c r="I4" i="116" s="1"/>
  <c r="L12" i="118"/>
  <c r="K12" i="118" a="1"/>
  <c r="K12" i="118" l="1"/>
  <c r="Q12" i="118" s="1"/>
  <c r="J4" i="116"/>
  <c r="Y5" i="111"/>
  <c r="X5" i="111"/>
  <c r="AA5" i="111" s="1"/>
  <c r="Z5" i="111" s="1"/>
  <c r="W5" i="111"/>
  <c r="V5" i="111"/>
  <c r="AI5" i="111"/>
  <c r="AH5" i="111"/>
  <c r="AJ5" i="111" s="1"/>
  <c r="AG5" i="111"/>
  <c r="E6" i="111"/>
  <c r="Q5" i="111"/>
  <c r="O5" i="111"/>
  <c r="P5" i="111" s="1"/>
  <c r="M5" i="111"/>
  <c r="N5" i="111" s="1"/>
  <c r="AK5" i="111" s="1"/>
  <c r="L5" i="111"/>
  <c r="J5" i="111"/>
  <c r="G5" i="111"/>
  <c r="AO8" i="45"/>
  <c r="G5" i="107"/>
  <c r="F7" i="104"/>
  <c r="F8" i="104"/>
  <c r="F6" i="104"/>
  <c r="AF5" i="107"/>
  <c r="AE5" i="107"/>
  <c r="AG5" i="107" s="1"/>
  <c r="AA5" i="107"/>
  <c r="P5" i="107"/>
  <c r="M5" i="107"/>
  <c r="L5" i="107"/>
  <c r="O5" i="107" s="1"/>
  <c r="K5" i="107"/>
  <c r="U6" i="104"/>
  <c r="V6" i="104"/>
  <c r="X7" i="104" a="1"/>
  <c r="X8" i="104" a="1"/>
  <c r="AI5" i="107" a="1"/>
  <c r="C17" i="63" a="1"/>
  <c r="M12" i="118" a="1"/>
  <c r="S12" i="45" a="1"/>
  <c r="X8" i="104" l="1"/>
  <c r="X7" i="104"/>
  <c r="W6" i="104"/>
  <c r="AI5" i="107"/>
  <c r="N5" i="107"/>
  <c r="M12" i="118"/>
  <c r="R12" i="118" s="1"/>
  <c r="V12" i="118" s="1"/>
  <c r="V13" i="118" s="1"/>
  <c r="F12" i="45"/>
  <c r="B12" i="45"/>
  <c r="S12" i="45"/>
  <c r="R5" i="111"/>
  <c r="P6" i="111"/>
  <c r="C17" i="63"/>
  <c r="Y8" i="104" a="1"/>
  <c r="Z8" i="104" a="1"/>
  <c r="Y7" i="104" a="1"/>
  <c r="Z7" i="104" a="1"/>
  <c r="X6" i="104" a="1"/>
  <c r="AK5" i="107" a="1"/>
  <c r="AL5" i="111" a="1"/>
  <c r="Z5" i="107" a="1"/>
  <c r="C18" i="63" a="1"/>
  <c r="X6" i="104" l="1"/>
  <c r="Z7" i="104"/>
  <c r="Y7" i="104"/>
  <c r="Z8" i="104"/>
  <c r="Y8" i="104"/>
  <c r="AK5" i="107"/>
  <c r="AJ5" i="107"/>
  <c r="AH5" i="107"/>
  <c r="Z5" i="107"/>
  <c r="S12" i="118"/>
  <c r="AL5" i="111"/>
  <c r="AQ5" i="111" s="1"/>
  <c r="C12" i="45"/>
  <c r="R6" i="111"/>
  <c r="Z6" i="111"/>
  <c r="AA6" i="111"/>
  <c r="N6" i="111"/>
  <c r="C18" i="63"/>
  <c r="J7" i="104"/>
  <c r="K7" i="104"/>
  <c r="L7" i="104"/>
  <c r="M7" i="104"/>
  <c r="J8" i="104"/>
  <c r="K8" i="104"/>
  <c r="L8" i="104"/>
  <c r="M8" i="104"/>
  <c r="M6" i="104"/>
  <c r="L6" i="104"/>
  <c r="K6" i="104"/>
  <c r="J6" i="104"/>
  <c r="Z6" i="104" a="1"/>
  <c r="Y6" i="104" a="1"/>
  <c r="AL5" i="107" a="1"/>
  <c r="Y6" i="104" l="1"/>
  <c r="Z6" i="104"/>
  <c r="AL5" i="107"/>
  <c r="AM5" i="111"/>
  <c r="AB5" i="111"/>
  <c r="AD5" i="111"/>
  <c r="AC5" i="111"/>
  <c r="AE5" i="111" s="1"/>
  <c r="AL6" i="111"/>
  <c r="C19" i="63"/>
  <c r="C20" i="63"/>
  <c r="AN5" i="111" a="1"/>
  <c r="AO5" i="111" a="1"/>
  <c r="D2" i="129" l="1"/>
  <c r="K2" i="129" s="1"/>
  <c r="L2" i="129" s="1"/>
  <c r="M2" i="129" s="1"/>
  <c r="D3" i="129"/>
  <c r="AN5" i="111"/>
  <c r="AO5" i="111"/>
  <c r="AR5" i="111"/>
  <c r="AS5" i="111"/>
  <c r="AM6" i="111"/>
  <c r="E2" i="129" l="1"/>
  <c r="O2" i="129" s="1"/>
  <c r="E3" i="129"/>
  <c r="O3" i="129" s="1"/>
  <c r="K3" i="129"/>
  <c r="L3" i="129" s="1"/>
  <c r="M3" i="129" s="1"/>
  <c r="AP5" i="111"/>
  <c r="AT5" i="111" s="1"/>
  <c r="AK6" i="111"/>
  <c r="AP3" i="111" s="1"/>
  <c r="AO6" i="111"/>
  <c r="AN6" i="111"/>
  <c r="H18" i="107"/>
  <c r="D18" i="107"/>
  <c r="C18" i="107"/>
  <c r="B9" i="104"/>
  <c r="C9" i="104"/>
  <c r="G9" i="104"/>
  <c r="N8" i="104"/>
  <c r="N7" i="104"/>
  <c r="N6" i="104"/>
  <c r="AP6" i="111" l="1"/>
  <c r="Q5" i="107"/>
  <c r="N9" i="104"/>
  <c r="O8" i="104"/>
  <c r="Q8" i="104" s="1"/>
  <c r="R8" i="104" s="1"/>
  <c r="O6" i="104"/>
  <c r="Q6" i="104" s="1"/>
  <c r="R6" i="104" s="1"/>
  <c r="O7" i="104"/>
  <c r="Q18" i="107" l="1"/>
  <c r="V5" i="107"/>
  <c r="X5" i="107" s="1"/>
  <c r="AL18" i="107"/>
  <c r="E2" i="120"/>
  <c r="F2" i="120" s="1"/>
  <c r="Q2" i="120" s="1"/>
  <c r="AA7" i="104"/>
  <c r="Q7" i="104"/>
  <c r="R7" i="104" s="1"/>
  <c r="AB7" i="104" s="1"/>
  <c r="R17" i="107" l="1"/>
  <c r="S17" i="107" s="1"/>
  <c r="U17" i="107" s="1"/>
  <c r="R13" i="107"/>
  <c r="S13" i="107" s="1"/>
  <c r="U13" i="107" s="1"/>
  <c r="R8" i="107"/>
  <c r="S8" i="107" s="1"/>
  <c r="U8" i="107" s="1"/>
  <c r="R12" i="107"/>
  <c r="S12" i="107" s="1"/>
  <c r="U12" i="107" s="1"/>
  <c r="R15" i="107"/>
  <c r="S15" i="107" s="1"/>
  <c r="U15" i="107" s="1"/>
  <c r="R10" i="107"/>
  <c r="S10" i="107" s="1"/>
  <c r="U10" i="107" s="1"/>
  <c r="R16" i="107"/>
  <c r="S16" i="107" s="1"/>
  <c r="U16" i="107" s="1"/>
  <c r="R9" i="107"/>
  <c r="S9" i="107" s="1"/>
  <c r="U9" i="107" s="1"/>
  <c r="R11" i="107"/>
  <c r="S11" i="107" s="1"/>
  <c r="U11" i="107" s="1"/>
  <c r="R14" i="107"/>
  <c r="S14" i="107" s="1"/>
  <c r="U14" i="107" s="1"/>
  <c r="R7" i="107"/>
  <c r="S7" i="107" s="1"/>
  <c r="U7" i="107" s="1"/>
  <c r="R6" i="107"/>
  <c r="R5" i="107"/>
  <c r="D2" i="120"/>
  <c r="H2" i="120" s="1"/>
  <c r="M2" i="120" s="1"/>
  <c r="Z9" i="104"/>
  <c r="X9" i="104"/>
  <c r="AM5" i="107"/>
  <c r="AJ18" i="107"/>
  <c r="AB8" i="104"/>
  <c r="R9" i="104"/>
  <c r="AN14" i="107" l="1"/>
  <c r="AB14" i="107"/>
  <c r="AN11" i="107"/>
  <c r="AB11" i="107"/>
  <c r="AN9" i="107"/>
  <c r="AB9" i="107"/>
  <c r="AN16" i="107"/>
  <c r="AB16" i="107"/>
  <c r="AN10" i="107"/>
  <c r="AB10" i="107"/>
  <c r="AN15" i="107"/>
  <c r="AB15" i="107"/>
  <c r="AN12" i="107"/>
  <c r="AB12" i="107"/>
  <c r="AN8" i="107"/>
  <c r="AB8" i="107"/>
  <c r="AN13" i="107"/>
  <c r="AB13" i="107"/>
  <c r="AN17" i="107"/>
  <c r="AB17" i="107"/>
  <c r="AN7" i="107"/>
  <c r="AB7" i="107"/>
  <c r="S6" i="107"/>
  <c r="N2" i="120"/>
  <c r="O2" i="120" s="1"/>
  <c r="S5" i="107"/>
  <c r="U5" i="107" s="1"/>
  <c r="AB5" i="107" s="1"/>
  <c r="AA6" i="104"/>
  <c r="AB6" i="104"/>
  <c r="AK18" i="107"/>
  <c r="AA8" i="104"/>
  <c r="AB18" i="107" l="1"/>
  <c r="U6" i="107"/>
  <c r="AN6" i="107" s="1"/>
  <c r="S18" i="107"/>
  <c r="Y9" i="104"/>
  <c r="AN5" i="107"/>
  <c r="U18" i="107" l="1"/>
  <c r="AC12" i="45"/>
  <c r="AD12" i="45"/>
  <c r="K12" i="45"/>
  <c r="J12" i="45"/>
  <c r="H12" i="45"/>
  <c r="G12" i="45"/>
  <c r="L12" i="45"/>
  <c r="AW12" i="45" s="1"/>
  <c r="AJ12" i="45"/>
  <c r="X12" i="45"/>
  <c r="AI12" i="45"/>
  <c r="W12" i="45"/>
  <c r="AE12" i="45" a="1"/>
  <c r="AT12" i="45" l="1"/>
  <c r="AS12" i="45"/>
  <c r="AE12" i="45"/>
  <c r="AQ12" i="45"/>
  <c r="AO12" i="45"/>
  <c r="AP12" i="45"/>
  <c r="AR12" i="45" l="1"/>
  <c r="AU12" i="45" s="1"/>
  <c r="I12" i="45" l="1"/>
  <c r="O4" i="120" l="1"/>
  <c r="M4" i="120"/>
  <c r="M12" i="45" l="1"/>
  <c r="B13" i="45"/>
  <c r="O12" i="45" a="1"/>
  <c r="O12" i="45" l="1"/>
  <c r="AA12" i="45"/>
  <c r="Z12" i="45"/>
  <c r="AF12" i="45" s="1"/>
  <c r="AB12" i="45" a="1"/>
  <c r="N12" i="45" a="1"/>
  <c r="N12" i="45" l="1"/>
  <c r="T12" i="45" s="1"/>
  <c r="AB12" i="45"/>
  <c r="AG12" i="45" s="1"/>
  <c r="AK12" i="45" s="1"/>
  <c r="AU13" i="45"/>
  <c r="AR13" i="45"/>
  <c r="P12" i="45" a="1"/>
  <c r="P12" i="45" l="1"/>
  <c r="U12" i="45" s="1"/>
  <c r="Y12" i="45" s="1"/>
  <c r="Y13" i="45" s="1"/>
  <c r="AH12" i="45"/>
  <c r="AM12" i="45" s="1"/>
  <c r="AK13" i="45"/>
  <c r="AN12" i="45" l="1"/>
  <c r="AN13" i="45" s="1"/>
  <c r="K8" i="64" s="1"/>
  <c r="V12" i="45"/>
  <c r="AL12" i="45" s="1"/>
  <c r="AL13" i="45" s="1"/>
  <c r="K7" i="64" s="1"/>
  <c r="BA12" i="45"/>
  <c r="AZ12" i="45" l="1"/>
  <c r="AX12" i="45"/>
  <c r="AY12" i="45" s="1"/>
  <c r="BB12" i="45" s="1"/>
  <c r="AY13" i="45" l="1"/>
  <c r="BB13" i="45"/>
  <c r="M4" i="129" l="1"/>
  <c r="K4" i="1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tc={B37CAC9B-C8DA-454B-8E05-93926FDA1639}</author>
    <author>tc={62952E3A-2DE2-4635-BEFF-E53D7C9BD751}</author>
    <author>Shraddha Patil</author>
    <author>tc={9499BA8A-1746-4DC5-8A7E-23F12BB01951}</author>
    <author>tc={F7D0549E-4995-492F-A550-4FDEA7D3D767}</author>
  </authors>
  <commentList>
    <comment ref="B5" authorId="0" shapeId="0" xr:uid="{B37CAC9B-C8DA-454B-8E05-93926FDA16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Replace this with the actual source</t>
      </text>
    </comment>
    <comment ref="J9" authorId="1" shapeId="0" xr:uid="{62952E3A-2DE2-4635-BEFF-E53D7C9BD751}">
      <text>
        <t>[Threaded comment]
Your version of Excel allows you to read this threaded comment; however, any edits to it will get removed if the file is opened in a newer version of Excel. Learn more: https://go.microsoft.com/fwlink/?linkid=870924
Comment:
    Does not consider the flow</t>
      </text>
    </comment>
    <comment ref="E10" authorId="2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  <comment ref="J10" authorId="3" shapeId="0" xr:uid="{9499BA8A-1746-4DC5-8A7E-23F12BB01951}">
      <text>
        <t>[Threaded comment]
Your version of Excel allows you to read this threaded comment; however, any edits to it will get removed if the file is opened in a newer version of Excel. Learn more: https://go.microsoft.com/fwlink/?linkid=870924
Comment:
    Considers the balance flow</t>
      </text>
    </comment>
    <comment ref="B23" authorId="4" shapeId="0" xr:uid="{F7D0549E-4995-492F-A550-4FDEA7D3D767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tc={31EAC5C4-25A3-4A67-82D4-B042C37CCEA9}</author>
    <author>tc={A66CCCA1-94A6-43AC-922B-E9352551A14B}</author>
    <author>tc={BF83FFD4-DABD-4405-9220-3AA1B9C49690}</author>
    <author>tc={75E461AD-46C1-4439-9A31-EA1A4EF9D6C2}</author>
    <author>tc={2FF02F18-3F27-400C-8051-1D6953C7273F}</author>
    <author>tc={989ED1B4-CAE6-409C-920C-C6CFEEE395A1}</author>
    <author>tc={3A8A7B81-F443-4A01-8322-316F92C363AC}</author>
    <author>tc={BCF7DC4E-E914-468D-BDC2-C08877BB67B6}</author>
    <author>tc={7F185DA6-DB3E-4BFB-B34A-655772AA1EE7}</author>
    <author>tc={2100AEBD-D5E7-4E2B-86D2-E5575750B200}</author>
  </authors>
  <commentList>
    <comment ref="AQ3" authorId="0" shapeId="0" xr:uid="{31EAC5C4-25A3-4A67-82D4-B042C37CCEA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4" authorId="1" shapeId="0" xr:uid="{A66CCCA1-94A6-43AC-922B-E9352551A14B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4" authorId="2" shapeId="0" xr:uid="{BF83FFD4-DABD-4405-9220-3AA1B9C49690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4" authorId="3" shapeId="0" xr:uid="{75E461AD-46C1-4439-9A31-EA1A4EF9D6C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4" authorId="4" shapeId="0" xr:uid="{2FF02F18-3F27-400C-8051-1D6953C7273F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4" authorId="5" shapeId="0" xr:uid="{989ED1B4-CAE6-409C-920C-C6CFEEE395A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AM4" authorId="6" shapeId="0" xr:uid="{3A8A7B81-F443-4A01-8322-316F92C363A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AN4" authorId="7" shapeId="0" xr:uid="{BCF7DC4E-E914-468D-BDC2-C08877BB67B6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AO4" authorId="8" shapeId="0" xr:uid="{7F185DA6-DB3E-4BFB-B34A-655772AA1EE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AR4" authorId="9" shapeId="0" xr:uid="{2100AEBD-D5E7-4E2B-86D2-E5575750B200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tc={CEEA40B8-9803-45F9-9590-1EB56958D071}</author>
  </authors>
  <commentList>
    <comment ref="A1" authorId="0" shapeId="0" xr:uid="{CEEA40B8-9803-45F9-9590-1EB56958D071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tc={F4177687-8E80-4A6B-B057-68A653B66C78}</author>
    <author>tc={4E5A4463-7793-4AC4-A59E-2608060717A3}</author>
    <author>tc={6AA7AC04-FAAA-4D66-BDEA-A5CAE99FC69E}</author>
    <author>tc={13686920-EDD3-4F99-ACEB-4FD7EA2EE9CE}</author>
  </authors>
  <commentList>
    <comment ref="E4" authorId="0" shapeId="0" xr:uid="{F4177687-8E80-4A6B-B057-68A653B66C78}">
      <text>
        <t>[Threaded comment]
Your version of Excel allows you to read this threaded comment; however, any edits to it will get removed if the file is opened in a newer version of Excel. Learn more: https://go.microsoft.com/fwlink/?linkid=870924
Comment:
    Positive for positive
Negative value for negative pressurization</t>
      </text>
    </comment>
    <comment ref="F4" authorId="1" shapeId="0" xr:uid="{4E5A4463-7793-4AC4-A59E-2608060717A3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showers / toilets / urinals</t>
      </text>
    </comment>
    <comment ref="W4" authorId="2" shapeId="0" xr:uid="{6AA7AC04-FAAA-4D66-BDEA-A5CAE99FC69E}">
      <text>
        <t>[Threaded comment]
Your version of Excel allows you to read this threaded comment; however, any edits to it will get removed if the file is opened in a newer version of Excel. Learn more: https://go.microsoft.com/fwlink/?linkid=870924
Comment:
    Pick Based on the zone efficiency table in ASHRAE 62.1</t>
      </text>
    </comment>
    <comment ref="AB18" authorId="3" shapeId="0" xr:uid="{13686920-EDD3-4F99-ACEB-4FD7EA2EE9CE}">
      <text>
        <t>[Threaded comment]
Your version of Excel allows you to read this threaded comment; however, any edits to it will get removed if the file is opened in a newer version of Excel. Learn more: https://go.microsoft.com/fwlink/?linkid=870924
Comment:
    Only use this when you plan to have the sequence to support this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tc={8B74483E-F39A-48BC-9A4F-F2282AE37744}</author>
  </authors>
  <commentList>
    <comment ref="A1" authorId="0" shapeId="0" xr:uid="{8B74483E-F39A-48BC-9A4F-F2282AE37744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</authors>
  <commentList>
    <comment ref="D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E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tc={6F767A3F-F52C-44D7-9F63-D60A46F3BF41}</author>
    <author>tc={9CA4B69A-D90F-4871-8F75-C811F2AC2E34}</author>
  </authors>
  <commentList>
    <comment ref="D5" authorId="0" shapeId="0" xr:uid="{6F767A3F-F52C-44D7-9F63-D60A46F3BF4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Positive for positive
Negative value for negative pressurization
</t>
      </text>
    </comment>
    <comment ref="P5" authorId="1" shapeId="0" xr:uid="{9CA4B69A-D90F-4871-8F75-C811F2AC2E34}">
      <text>
        <t>[Threaded comment]
Your version of Excel allows you to read this threaded comment; however, any edits to it will get removed if the file is opened in a newer version of Excel. Learn more: https://go.microsoft.com/fwlink/?linkid=870924
Comment:
    Select Value from ASHRAE Table 6-4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tc={E0601F33-184C-4984-A0E4-F32973E0C3DA}</author>
    <author>tc={EFCFC2A7-092A-45A3-9C4B-3C27C4873A04}</author>
  </authors>
  <commentList>
    <comment ref="D11" authorId="0" shapeId="0" xr:uid="{E0601F33-184C-4984-A0E4-F32973E0C3D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E11" authorId="1" shapeId="0" xr:uid="{EFCFC2A7-092A-45A3-9C4B-3C27C4873A0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88DF15-FA31-4230-9B8F-8FBF1647F4D9}" keepAlive="1" name="Query - AHU_Options" description="Connection to the 'AHU_Options' query in the workbook." type="5" refreshedVersion="0" background="1">
    <dbPr connection="Provider=Microsoft.Mashup.OleDb.1;Data Source=$Workbook$;Location=AHU_Options;Extended Properties=&quot;&quot;" command="SELECT * FROM [AHU_Options]"/>
  </connection>
  <connection id="2" xr16:uid="{E9E41313-5BF1-4BC5-A3B9-15B9712FB65B}" keepAlive="1" name="Query - Table7" description="Connection to the 'Table7' query in the workbook." type="5" refreshedVersion="0" background="1" saveData="1">
    <dbPr connection="Provider=Microsoft.Mashup.OleDb.1;Data Source=$Workbook$;Location=Table7;Extended Properties=&quot;&quot;" command="SELECT * FROM [Table7]"/>
  </connection>
  <connection id="3" xr16:uid="{8873E1C3-0056-4C07-843C-79E646B62FE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D7AF6AC-B45C-4D72-94A6-D4276AD79CF6}" name="WorksheetConnection_Revamped AHU Psyc Calcs (HCAI).xlsm!AHU_Options" type="102" refreshedVersion="8" minRefreshableVersion="5">
    <extLst>
      <ext xmlns:x15="http://schemas.microsoft.com/office/spreadsheetml/2010/11/main" uri="{DE250136-89BD-433C-8126-D09CA5730AF9}">
        <x15:connection id="AHU_Options">
          <x15:rangePr sourceName="_xlcn.WorksheetConnection_RevampedAHUPsycCalcsHCAI.xlsmAHU_Options1"/>
        </x15:connection>
      </ext>
    </extLst>
  </connection>
  <connection id="5" xr16:uid="{6E518B32-0A99-4F08-AC1A-6B5E128D9D4E}" name="WorksheetConnection_Revamped AHU Psyc Calcs (HCAI).xlsm!Table7" type="102" refreshedVersion="8" minRefreshableVersion="5">
    <extLst>
      <ext xmlns:x15="http://schemas.microsoft.com/office/spreadsheetml/2010/11/main" uri="{DE250136-89BD-433C-8126-D09CA5730AF9}">
        <x15:connection id="Table7">
          <x15:rangePr sourceName="_xlcn.WorksheetConnection_RevampedAHUPsycCalcsHCAI.xlsmTable7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<sst xmlns="http://schemas.openxmlformats.org/spreadsheetml/2006/main" count="1911" uniqueCount="762">
  <si>
    <t>RA</t>
  </si>
  <si>
    <t>GPM</t>
  </si>
  <si>
    <t>ROOM INFO</t>
  </si>
  <si>
    <t>TABLE 4A CODE REQUIREMENTS</t>
  </si>
  <si>
    <t>ASHRAE 62.1 CALC</t>
  </si>
  <si>
    <t>ZONE</t>
  </si>
  <si>
    <t>ROOM</t>
  </si>
  <si>
    <t>ROOM 
NUMBER</t>
  </si>
  <si>
    <r>
      <t>AREA 
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</si>
  <si>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>HG
(FT)</t>
  </si>
  <si>
    <t>100%
EA</t>
  </si>
  <si>
    <t>Desired Air Balance Difference</t>
  </si>
  <si>
    <t>LOAD 
(CFM)</t>
  </si>
  <si>
    <t>1 or 0.5 CFM/SF</t>
  </si>
  <si>
    <t>FUNCTION OR SPACE</t>
  </si>
  <si>
    <t>PRESSURE RELATIONSHIP TO ADJACENT AREAS</t>
  </si>
  <si>
    <t>MIN OUTDOOR ACH
(AC/HR)</t>
  </si>
  <si>
    <t>MIN OUTDOOR ACH 
(CFM)</t>
  </si>
  <si>
    <t>MIN TOTAL ACH (AC/HR)</t>
  </si>
  <si>
    <t>MIN TOTAL ACH 
(CFM)</t>
  </si>
  <si>
    <t>100% EA
 (YES/NR)</t>
  </si>
  <si>
    <t>MIN EA 
(CFM)</t>
  </si>
  <si>
    <t>Exhaust Category</t>
  </si>
  <si>
    <t>ASHRAE
EXHAUST UNIT</t>
  </si>
  <si>
    <t>OCCUPANCY CATEGORY</t>
  </si>
  <si>
    <t>RP
(CFM/PER PERSON)</t>
  </si>
  <si>
    <t>RA
(CFM/FT²)</t>
  </si>
  <si>
    <t>OCCUPANT DENSITY
(#/1000 FT²)</t>
  </si>
  <si>
    <t>Air Class</t>
  </si>
  <si>
    <t>Actual Number of  Occupants (Ps)</t>
  </si>
  <si>
    <t>Occupants (Pz)</t>
  </si>
  <si>
    <t>DIVERSITY (D)</t>
  </si>
  <si>
    <t>Uncorrected OA (Vou)</t>
  </si>
  <si>
    <t>System Efficiency (Ev)</t>
  </si>
  <si>
    <t>OUTSIDE AIRFLOW (CFM) (Vot)</t>
  </si>
  <si>
    <t>EXHAUST RECOVERY</t>
  </si>
  <si>
    <t>OS</t>
  </si>
  <si>
    <t>EA RATE
(CFM/UNIT)</t>
  </si>
  <si>
    <t>EA RATE
(CFM/FT²)</t>
  </si>
  <si>
    <t>MIN ASHRAE EA
(CFM)</t>
  </si>
  <si>
    <t>CALCULATED SA 
(CFM)</t>
  </si>
  <si>
    <t>Transfer Air CFM</t>
  </si>
  <si>
    <t>CFM/SF</t>
  </si>
  <si>
    <t>OSA PERCENT</t>
  </si>
  <si>
    <t>ACH/hr</t>
  </si>
  <si>
    <t>Balance?</t>
  </si>
  <si>
    <t>DUMMY</t>
  </si>
  <si>
    <t>Laundry, general</t>
  </si>
  <si>
    <t>NOT APPLICABLE</t>
  </si>
  <si>
    <t>NO</t>
  </si>
  <si>
    <t>BASIS OF DESIGN 
MANUFACTURER</t>
  </si>
  <si>
    <t>DESCRIPTION</t>
  </si>
  <si>
    <t>CFM</t>
  </si>
  <si>
    <t>CAV INLET SIZE</t>
  </si>
  <si>
    <t>MAX TOTAL CAV PD 
(IN W.G.)</t>
  </si>
  <si>
    <t>EWT</t>
  </si>
  <si>
    <t>DESIGN 
LWT</t>
  </si>
  <si>
    <t>EAT</t>
  </si>
  <si>
    <t>DESIGN 
LAT</t>
  </si>
  <si>
    <t>MIN MBH</t>
  </si>
  <si>
    <t>AGPM</t>
  </si>
  <si>
    <t>MAX WATER 
PD (FT)</t>
  </si>
  <si>
    <t>OPER 
WEIGHT
(LBS)</t>
  </si>
  <si>
    <t>MTG 
DETAIL</t>
  </si>
  <si>
    <t>REMARKS</t>
  </si>
  <si>
    <t>CAV-1-01</t>
  </si>
  <si>
    <t>TITUS</t>
  </si>
  <si>
    <t>SINGLE DUCT REHEAT ZONE</t>
  </si>
  <si>
    <t>1, 2</t>
  </si>
  <si>
    <t>Bathing room</t>
  </si>
  <si>
    <t>CAV-1-02</t>
  </si>
  <si>
    <t>Blood bank/tissue storage</t>
  </si>
  <si>
    <t>TOILETS—PRIVATE</t>
  </si>
  <si>
    <t>Fast track room</t>
  </si>
  <si>
    <t>NOT PER TABLE 4A</t>
  </si>
  <si>
    <t>GENERAL - CONFERENCE/MEETING</t>
  </si>
  <si>
    <t>`</t>
  </si>
  <si>
    <t>Total</t>
  </si>
  <si>
    <t>ROOM DATA INPUTS</t>
  </si>
  <si>
    <t>ASHRAE 62.1 TABLE 6-1 AND 6-2</t>
  </si>
  <si>
    <t>Zone</t>
  </si>
  <si>
    <t>Room Number</t>
  </si>
  <si>
    <t>Room</t>
  </si>
  <si>
    <r>
      <t>AREA 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</si>
  <si>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Exhaust Units</t>
  </si>
  <si>
    <t>OFFICE STANDARD 
(CFM)</t>
  </si>
  <si>
    <t>LOAD (CFM)</t>
  </si>
  <si>
    <t>Occupancy Category</t>
  </si>
  <si>
    <t>Breathing Zone OA (Vbz)</t>
  </si>
  <si>
    <t>Zone Efficiency (Ez)</t>
  </si>
  <si>
    <t>Zone OA (Voz)</t>
  </si>
  <si>
    <t>CO2 SENSOR</t>
  </si>
  <si>
    <t>MIN OA ALLOWABLE (WITH DCV)</t>
  </si>
  <si>
    <t>DESIGN VAV MIN SA(CFM)</t>
  </si>
  <si>
    <t>DESIGN VAV MAX SA(CFM)</t>
  </si>
  <si>
    <t>DESIGN RA (CFM)</t>
  </si>
  <si>
    <t>DESIGN EA(CFM)</t>
  </si>
  <si>
    <t>OA Frac (Z)</t>
  </si>
  <si>
    <t>MIN VAV
(CFM)</t>
  </si>
  <si>
    <t>MAX VAV
(CFM)</t>
  </si>
  <si>
    <t>VAV INLET SIZE
(IN)</t>
  </si>
  <si>
    <t>MAX TOTAL VAV PD 
(IN W.G.)</t>
  </si>
  <si>
    <t>HEATING AIRFLOW 
(CFM)</t>
  </si>
  <si>
    <t>VAV-1-01</t>
  </si>
  <si>
    <t>GENERAL - TOILETS</t>
  </si>
  <si>
    <t>ANIMAL FACILITIES - NECROPSY</t>
  </si>
  <si>
    <t>VAV-1-02</t>
  </si>
  <si>
    <t>EDUCATIONAL FACILITIES - LIBRARIES</t>
  </si>
  <si>
    <t>TOTAL</t>
  </si>
  <si>
    <t>Project Name:</t>
  </si>
  <si>
    <t>Enter here</t>
  </si>
  <si>
    <t>Date:</t>
  </si>
  <si>
    <t>YES</t>
  </si>
  <si>
    <t xml:space="preserve">END </t>
  </si>
  <si>
    <t>MERV 8</t>
  </si>
  <si>
    <t>PLATE FRAME HEAT EXCHANGER</t>
  </si>
  <si>
    <t>INPUTS</t>
  </si>
  <si>
    <t>OUTPUTS</t>
  </si>
  <si>
    <t>SIDE</t>
  </si>
  <si>
    <t>MERV 9</t>
  </si>
  <si>
    <t>ENTHALPY WHEEL</t>
  </si>
  <si>
    <t>*OUTSIDE AIR TABLE - MUST BE FROM ASHRAE OR RFP</t>
  </si>
  <si>
    <t>DOWN</t>
  </si>
  <si>
    <t>MERV 10</t>
  </si>
  <si>
    <t>Climate Zone</t>
  </si>
  <si>
    <t>3B</t>
  </si>
  <si>
    <t>Elevation of project (ft)</t>
  </si>
  <si>
    <t>CENTRAL PLANT DETAILS</t>
  </si>
  <si>
    <t>MERV 11</t>
  </si>
  <si>
    <t>SUMMER DESIGN</t>
  </si>
  <si>
    <t>WINTER DESIGN</t>
  </si>
  <si>
    <t>CHW Plant</t>
  </si>
  <si>
    <t>Tons</t>
  </si>
  <si>
    <t>MERV 12</t>
  </si>
  <si>
    <t>COOLING</t>
  </si>
  <si>
    <t>DB</t>
  </si>
  <si>
    <t>HEATING</t>
  </si>
  <si>
    <t>MCDB</t>
  </si>
  <si>
    <t>CHW Total Flow</t>
  </si>
  <si>
    <t>Gpm</t>
  </si>
  <si>
    <t>MERV 13</t>
  </si>
  <si>
    <t>WB</t>
  </si>
  <si>
    <t>MERV 14</t>
  </si>
  <si>
    <t>DEHUMIDIFICATION</t>
  </si>
  <si>
    <t>HUMIDIFICATION</t>
  </si>
  <si>
    <t>HHW Plant</t>
  </si>
  <si>
    <t>Mbh</t>
  </si>
  <si>
    <t>HR</t>
  </si>
  <si>
    <t>HHW Pump Flow</t>
  </si>
  <si>
    <t>PROJECT DETAILS</t>
  </si>
  <si>
    <t>CHWS</t>
  </si>
  <si>
    <t>F</t>
  </si>
  <si>
    <t>CHWR</t>
  </si>
  <si>
    <t>HHWS</t>
  </si>
  <si>
    <t>HHWR</t>
  </si>
  <si>
    <t>System Allowance</t>
  </si>
  <si>
    <t>%</t>
  </si>
  <si>
    <t>CAV Detail Ref</t>
  </si>
  <si>
    <t>-</t>
  </si>
  <si>
    <t>SURVEY / FEEDBACK</t>
  </si>
  <si>
    <t>AHU OPTIONS MATRIX</t>
  </si>
  <si>
    <t>AHU NAME</t>
  </si>
  <si>
    <t>DISCHARGE CONFIG</t>
  </si>
  <si>
    <t>RETURN CONFIG</t>
  </si>
  <si>
    <t>SUPPLY FAN VFD</t>
  </si>
  <si>
    <t>RETURN FAN</t>
  </si>
  <si>
    <t>RETURN FAN VFD</t>
  </si>
  <si>
    <t>ECONOMIZER</t>
  </si>
  <si>
    <t>HEAT RECOVERY</t>
  </si>
  <si>
    <t>PREHEAT COIL</t>
  </si>
  <si>
    <t>REHEAT COIL</t>
  </si>
  <si>
    <t>SUPPLY SMOKE</t>
  </si>
  <si>
    <t>RETURN SMOKE</t>
  </si>
  <si>
    <t>SINGLE POWER</t>
  </si>
  <si>
    <t>UV LIGHTS</t>
  </si>
  <si>
    <t xml:space="preserve">PRE FILTER </t>
  </si>
  <si>
    <t>INTERMIDIATE FILTER</t>
  </si>
  <si>
    <t>ATFP DAMPERS</t>
  </si>
  <si>
    <t>HUMIDIFIER</t>
  </si>
  <si>
    <t>HEPA FILTER</t>
  </si>
  <si>
    <t>Patient corridor</t>
  </si>
  <si>
    <t>OUTSIDE AIR AND CFM DATA</t>
  </si>
  <si>
    <t>SENSIBLE COOLING COIL PERFORMANCE</t>
  </si>
  <si>
    <t>DEHUMIDIFICATION COOLING COIL PERFORMANCE</t>
  </si>
  <si>
    <t>FINAL VALUES</t>
  </si>
  <si>
    <t>Across Unit</t>
  </si>
  <si>
    <t>Exfiltration Air</t>
  </si>
  <si>
    <t>Across Cooling Coil</t>
  </si>
  <si>
    <t>Unit Size</t>
  </si>
  <si>
    <t xml:space="preserve">
Chilled Water </t>
  </si>
  <si>
    <t>CHILLED WATER</t>
  </si>
  <si>
    <t>MAX
Unit Size</t>
  </si>
  <si>
    <t>CFM/Ton</t>
  </si>
  <si>
    <t>MAX GPM</t>
  </si>
  <si>
    <t>Across Heating Coil</t>
  </si>
  <si>
    <t>HOT WATER</t>
  </si>
  <si>
    <t>Supply Air</t>
  </si>
  <si>
    <t xml:space="preserve">RETURN AIR </t>
  </si>
  <si>
    <t>Outside Air</t>
  </si>
  <si>
    <t>Summer Outside Air (dehumidification)</t>
  </si>
  <si>
    <t>Winter Outside</t>
  </si>
  <si>
    <t>Entering Air</t>
  </si>
  <si>
    <t>Leaving Coil</t>
  </si>
  <si>
    <t>Qs</t>
  </si>
  <si>
    <t>Qt</t>
  </si>
  <si>
    <t>LWT</t>
  </si>
  <si>
    <t>FLOW</t>
  </si>
  <si>
    <t>HEATING CFM</t>
  </si>
  <si>
    <t>Leaving Air</t>
  </si>
  <si>
    <t>TAG</t>
  </si>
  <si>
    <t>(CFM)</t>
  </si>
  <si>
    <t>(CFM)2</t>
  </si>
  <si>
    <t>(˚F db)</t>
  </si>
  <si>
    <t>(˚F wb)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</si>
  <si>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</si>
  <si>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</si>
  <si>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</si>
  <si>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</si>
  <si>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</si>
  <si>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</si>
  <si>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</si>
  <si>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</si>
  <si>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</si>
  <si>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</si>
  <si>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(h)</t>
  </si>
  <si>
    <t>(˚F db)13</t>
  </si>
  <si>
    <t>(˚F wb)14</t>
  </si>
  <si>
    <t>(h)15</t>
  </si>
  <si>
    <t>(Btu/hr)</t>
  </si>
  <si>
    <t>(Btu/hr)16</t>
  </si>
  <si>
    <t>(Tons)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</si>
  <si>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</si>
  <si>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</si>
  <si>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</si>
  <si>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</si>
  <si>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</si>
  <si>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</si>
  <si>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</si>
  <si>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</si>
  <si>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</si>
  <si>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</si>
  <si>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</si>
  <si>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</si>
  <si>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</si>
  <si>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</si>
  <si>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</si>
  <si>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</si>
  <si>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GPM MAX</t>
  </si>
  <si>
    <t>(CFM)36</t>
  </si>
  <si>
    <t>(˚F db)37</t>
  </si>
  <si>
    <t>(˚F db)38</t>
  </si>
  <si>
    <t>(MBH)</t>
  </si>
  <si>
    <t>(˚F db)39</t>
  </si>
  <si>
    <t>(˚F db)40</t>
  </si>
  <si>
    <t>GPM41</t>
  </si>
  <si>
    <t>(˚F db)43</t>
  </si>
  <si>
    <t>(˚F db)45</t>
  </si>
  <si>
    <t>(mbh)46</t>
  </si>
  <si>
    <t>(˚F db)46</t>
  </si>
  <si>
    <t>DESIGN</t>
  </si>
  <si>
    <r>
      <t>AREA 
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</si>
  <si>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Occupants</t>
  </si>
  <si>
    <t>Vbz</t>
  </si>
  <si>
    <t>Ez</t>
  </si>
  <si>
    <t>Voz</t>
  </si>
  <si>
    <t>DESIGN SA(CFM)</t>
  </si>
  <si>
    <t>DESIGN RA(CFM)</t>
  </si>
  <si>
    <t>MISCELLANEOUS SPACES - PHOTO STUDIOS</t>
  </si>
  <si>
    <t>ANIMAL FACILITIES - ANIMAL PREPARATION ROOMS</t>
  </si>
  <si>
    <t>RP</t>
  </si>
  <si>
    <t>OCCUPANT DENSITY</t>
  </si>
  <si>
    <t>AIR CLASS</t>
  </si>
  <si>
    <t>0.5?</t>
  </si>
  <si>
    <t>EXHAUST RATE PER UNIT</t>
  </si>
  <si>
    <t>EXHAUST RATE PER AREA</t>
  </si>
  <si>
    <t>NOTES</t>
  </si>
  <si>
    <t xml:space="preserve">AIR CLASS </t>
  </si>
  <si>
    <t>ANIMAL FACILITIES - ANIMAL EXAM ROOM (VETERINARY OFFICE)</t>
  </si>
  <si>
    <t>ANIMAL FACILITIES - ANIMAL IMAGING (MRI/CT/PET)</t>
  </si>
  <si>
    <t>TABLE 6-4</t>
  </si>
  <si>
    <t>CLIMATE ZONE</t>
  </si>
  <si>
    <t>ANIMAL FACILITIES - ANIMAL OPERATING ROOMS</t>
  </si>
  <si>
    <t>ANIMAL FACILITIES - ANIMAL POSTOPERATIVE RECOVERY ROOM</t>
  </si>
  <si>
    <t>5A</t>
  </si>
  <si>
    <t>ANIMAL FACILITIES - ANIMAL PROCEDURE ROOM</t>
  </si>
  <si>
    <t>6A</t>
  </si>
  <si>
    <t>ANIMAL FACILITIES - ANIMAL SURGERY SCRUB</t>
  </si>
  <si>
    <t>6B</t>
  </si>
  <si>
    <t>ANIMAL FACILITIES - LARGE-ANIMAL HOLDING ROOM</t>
  </si>
  <si>
    <t>0A</t>
  </si>
  <si>
    <t>ANIMAL FACILITIES - LARGE ANIMAL HOLDING ROOM</t>
  </si>
  <si>
    <t>0B</t>
  </si>
  <si>
    <t>ANIMAL FACILITIES - SMALL-ANIMAL-CAGE ROOM (STATIC CAGES)</t>
  </si>
  <si>
    <t>1B</t>
  </si>
  <si>
    <t>ANIMAL FACILITIES - SMALL-ANIMAL-CAGE ROOM (VENTILATED CAGES)</t>
  </si>
  <si>
    <t>3A</t>
  </si>
  <si>
    <t>ARENAS</t>
  </si>
  <si>
    <t>B</t>
  </si>
  <si>
    <t>4A</t>
  </si>
  <si>
    <t>CORRECTIONAL FACILITIES - BOOKING/WAITING</t>
  </si>
  <si>
    <t>ART CLASSROOMS</t>
  </si>
  <si>
    <t>5B</t>
  </si>
  <si>
    <t>CORRECTIONAL FACILITIES - CELL</t>
  </si>
  <si>
    <t>AUTO REPAIR ROOMS</t>
  </si>
  <si>
    <t>A</t>
  </si>
  <si>
    <t>5C</t>
  </si>
  <si>
    <t>CORRECTIONAL FACILITIES - DAYROOM</t>
  </si>
  <si>
    <t>BARBER SHOPS</t>
  </si>
  <si>
    <t>2A</t>
  </si>
  <si>
    <t>CORRECTIONAL FACILITIES - GUARD STATIONS</t>
  </si>
  <si>
    <t>BEAUTY AND NAIL SALONS</t>
  </si>
  <si>
    <t>2B</t>
  </si>
  <si>
    <t>EDUCATIONAL FACILITIES - ART CLASSROOM</t>
  </si>
  <si>
    <t>CELLS WITH TOILET</t>
  </si>
  <si>
    <t>4C</t>
  </si>
  <si>
    <t>EDUCATIONAL FACILITIES - CLASSROOMS (AGES 5 TO 8)</t>
  </si>
  <si>
    <t>COPY, PRINTING ROOMS</t>
  </si>
  <si>
    <t>EDUCATIONAL FACILITIES - CLASSROOMS (AGES 9 PLUS)</t>
  </si>
  <si>
    <t>DARKROOMS</t>
  </si>
  <si>
    <t>4B</t>
  </si>
  <si>
    <t>EDUCATIONAL FACILITIES - COMPUTER LAB</t>
  </si>
  <si>
    <t>EDUCATIONAL SCIENCE LABORATORIES</t>
  </si>
  <si>
    <t>1A</t>
  </si>
  <si>
    <t>EDUCATIONAL FACILITIES - DAYCARE (THROUGH AGE 4)</t>
  </si>
  <si>
    <t>JANITOR CLOSETS, TRASH ROOMS, RECYCLING</t>
  </si>
  <si>
    <t>3C</t>
  </si>
  <si>
    <t>EDUCATIONAL FACILITIES - DAYCARE SICKROOM</t>
  </si>
  <si>
    <t>KITCHENETTES</t>
  </si>
  <si>
    <t>EDUCATIONAL FACILITIES - LECTURE CLASSROOM</t>
  </si>
  <si>
    <t>KITCHENS—COMMERICAL</t>
  </si>
  <si>
    <t>EDUCATIONAL FACILITIES - LECTURE HALL (FIXED SEATS)</t>
  </si>
  <si>
    <t>LOCKER ROOMS FOR ATHLETIC, INDUSTRIAL, AND HEALTH CARE FACILITIES</t>
  </si>
  <si>
    <t>LOCKER ROOMS FOR ATHLETIC, INDUSTRIAL, AND HEALTH CARE FACILITIES - ALL OTHER LOCKER ROOMS</t>
  </si>
  <si>
    <t>EDUCATIONAL FACILITIES - MEDIA CENTER</t>
  </si>
  <si>
    <t>LOCKER ROOMS FOR ATHLETIC, INDUSTRIAL, AND HEALTH CARE FACILITIES - SHOWER ROOMS</t>
  </si>
  <si>
    <t>G,I</t>
  </si>
  <si>
    <t>EDUCATIONAL FACILITIES - MULTIUSE ASSEMBLY</t>
  </si>
  <si>
    <t>PAINT SPRAY BOOTHS</t>
  </si>
  <si>
    <t>EDUCATIONAL FACILITIES - MUSIC/THEATER/DANCE</t>
  </si>
  <si>
    <t>PARKING GARAGES</t>
  </si>
  <si>
    <t>C</t>
  </si>
  <si>
    <t>EDUCATIONAL FACILITIES - SCIENCE LABORATORIES</t>
  </si>
  <si>
    <t>PET SHOPS (ANIMAL AREAS)</t>
  </si>
  <si>
    <t>EDUCATIONAL FACILITIES - UNIVERSITY/COLLEGE LABORATORIES</t>
  </si>
  <si>
    <t>REFRIGERATING MACHINERY ROOMS</t>
  </si>
  <si>
    <t>EDUCATIONAL FACILITIES - WOOD/METAL SHOP</t>
  </si>
  <si>
    <t>RESIDENTIAL KITCHENS</t>
  </si>
  <si>
    <t>FOOD AND BEVERAGE SERVICE - BARS, COCKTAIL LOUNGES</t>
  </si>
  <si>
    <t>SOILED LAUNDRY STORAGE ROOMS</t>
  </si>
  <si>
    <t>FOOD AND BEVERAGE SERVICE - CAFETERIA/FAST-FOOD DINING</t>
  </si>
  <si>
    <t>STORAGE ROOMS, CHEMICAL</t>
  </si>
  <si>
    <t>FOOD AND BEVERAGE SERVICE - KITCHEN (COOKING)</t>
  </si>
  <si>
    <t>E.H</t>
  </si>
  <si>
    <t>FOOD AND BEVERAGE SERVICE - RESTAURANT DINING ROOMS</t>
  </si>
  <si>
    <t>TOILETS—PUBLIC</t>
  </si>
  <si>
    <t>D,H</t>
  </si>
  <si>
    <t>GENERAL - BREAK ROOMS</t>
  </si>
  <si>
    <t>GENERAL - COFFEE STATIONS</t>
  </si>
  <si>
    <t>WOODWORK SHOP/CLASSROOMS</t>
  </si>
  <si>
    <t>GENERAL - CORRIDORS</t>
  </si>
  <si>
    <t>GENERAL - OCCUPIABLE STORAGE ROOMS FOR LIQUIDS OR GELS</t>
  </si>
  <si>
    <t>HOTELS, MOTELS, RESORTS, DORMITORIES - BARRACKS SLEEPING AREAS</t>
  </si>
  <si>
    <t>HOTELS, MOTELS, RESORTS, DORMITORIES - BEDROOM/LIVING ROOM</t>
  </si>
  <si>
    <t>HOTELS, MOTELS, RESORTS, DORMITORIES - LAUNDRY ROOMS WITHIN DWELLING UNITS</t>
  </si>
  <si>
    <t>HOTELS, MOTELS, RESORTS, DORMITORIES - LAUNDRY ROOMS, CENTRAL</t>
  </si>
  <si>
    <t>HOTELS, MOTELS, RESORTS, DORMITORIES - LOBBIES/PREFUNCTION</t>
  </si>
  <si>
    <t>HOTELS, MOTELS, RESORTS, DORMITORIES - MULTIPURPOSE ASSEMBLY</t>
  </si>
  <si>
    <t>MISCELLANEOUS SPACES - BANK VAULTS/SAFE DEPOSIT</t>
  </si>
  <si>
    <t>MISCELLANEOUS SPACES - BANKS OR BANKS LOBBIES</t>
  </si>
  <si>
    <t>MISCELLANEOUS SPACES - COMPUTER (NOT PRINTING)</t>
  </si>
  <si>
    <t>MISCELLANEOUS SPACES - FREEZER AND REFRIGERATED SPACES (&lt;50°F [10C])</t>
  </si>
  <si>
    <t>MISCELLANEOUS SPACES - MANUFACTURING WHERE HAZARDOUS MATERIALS ARE NOT USED</t>
  </si>
  <si>
    <t>MISCELLANEOUS SPACES - MANUFACTURING WHERE HAZARDOUS MATERIALS ARE USED (EXCLUDES HEAVY INDUSTRIAL AND CHEMICAL PROCESSES)</t>
  </si>
  <si>
    <t>MISCELLANEOUS SPACES - PHARMACY (PREP. AREA)</t>
  </si>
  <si>
    <t>MISCELLANEOUS SPACES - SHIPPING/RECEIVING</t>
  </si>
  <si>
    <t>MISCELLANEOUS SPACES - SORTING, PACKING, LIGHT ASSEMBLE</t>
  </si>
  <si>
    <t>MISCELLANEOUS SPACES - TELEPHONE CLOSETS</t>
  </si>
  <si>
    <t>MISCELLANEOUS SPACES - TRANSPORTATION WAITING</t>
  </si>
  <si>
    <t>MISCELLANEOUS SPACES - WAREHOUSES</t>
  </si>
  <si>
    <t>OFFICE BUILDINGS - BREAKROOMS</t>
  </si>
  <si>
    <t>OFFICE BUILDINGS - MAIN ENTRY LOBBIES</t>
  </si>
  <si>
    <t>OFFICE BUILDINGS - OCCUPIABLE STORAGE ROOMS FOR DRY MATERIALS</t>
  </si>
  <si>
    <t>OFFICE BUILDINGS - OFFICE SPACE</t>
  </si>
  <si>
    <t>OFFICE BUILDINGS - RECEPTION AREAS</t>
  </si>
  <si>
    <t>OFFICE BUILDINGS - TELEPHONE/DATA ENTRY</t>
  </si>
  <si>
    <t>PUBLIC ASSEMBLY SPACES - AUDITORIUM SEATING AREA</t>
  </si>
  <si>
    <t>PUBLIC ASSEMBLY SPACES - COURTROOMS</t>
  </si>
  <si>
    <t>PUBLIC ASSEMBLY SPACES - LEGISLATIVE CHAMBERS</t>
  </si>
  <si>
    <t>PUBLIC ASSEMBLY SPACES - LIBRARIES</t>
  </si>
  <si>
    <t>PUBLIC ASSEMBLY SPACES - LOBBIES</t>
  </si>
  <si>
    <t>PUBLIC ASSEMBLY SPACES - MUSEUMS (CHILDREN'S)</t>
  </si>
  <si>
    <t>PUBLIC ASSEMBLY SPACES - MUSEUMS/GALLERIES</t>
  </si>
  <si>
    <t>PUBLIC ASSEMBLY SPACES - PLACES OF RELIGIOUS WORSHIP</t>
  </si>
  <si>
    <t>RESIDENTIAL - COMMON CORRIDORS</t>
  </si>
  <si>
    <t>RETAIL - BARBERSHOP</t>
  </si>
  <si>
    <t>RETAIL - BEAUTY AND NAIL SALONS</t>
  </si>
  <si>
    <t>RETAIL - COIN-OPERATED LAUNDRIES</t>
  </si>
  <si>
    <t>RETAIL - MALL COMMON AREAS</t>
  </si>
  <si>
    <t>RETAIL - PET SHOPS (ANIMAL AREAS)</t>
  </si>
  <si>
    <t>RETAIL - SALES (EXCEPT AS BELOW)</t>
  </si>
  <si>
    <t>RETAIL - SUPERMARKET</t>
  </si>
  <si>
    <t>SPORTS AND ENTERTAINMENT - BOWLING ALLEY (SEATING)</t>
  </si>
  <si>
    <t>SPORTS AND ENTERTAINMENT - DISCO/DANCE FLOORS</t>
  </si>
  <si>
    <t>SPORTS AND ENTERTAINMENT - GAMBLING CASINOS</t>
  </si>
  <si>
    <t>SPORTS AND ENTERTAINMENT - GAME ARCADES</t>
  </si>
  <si>
    <t>SPORTS AND ENTERTAINMENT - GYM, SPORTS ARENA (PLAY AREA)</t>
  </si>
  <si>
    <t>SPORTS AND ENTERTAINMENT - HEALTH CLUB/AEROBICS ROOM</t>
  </si>
  <si>
    <t>SPORTS AND ENTERTAINMENT - HEALTH CLUB/WEIGHT ROOMS</t>
  </si>
  <si>
    <t>SPORTS AND ENTERTAINMENT - SPECTATOR AREAS</t>
  </si>
  <si>
    <t>SPORTS AND ENTERTAINMENT - STAGES, STUDIOS</t>
  </si>
  <si>
    <t>NA</t>
  </si>
  <si>
    <t>SPORTS AND ENTERTAINMENT - SWIMMING (POOL AND DECK)</t>
  </si>
  <si>
    <t>Area Designation</t>
  </si>
  <si>
    <t>Air Balance Rerationship to Adjacent Areas</t>
  </si>
  <si>
    <t>Minimum Air Changes of Outdoor Air per Hour</t>
  </si>
  <si>
    <t>Minimum Total Air Changes per Hour</t>
  </si>
  <si>
    <t>All Air Exhausted Directly To Outdoors
(j)</t>
  </si>
  <si>
    <t>Air Recirculated by Means of Room Units (a)</t>
  </si>
  <si>
    <t>Design Relative Humidity (k)%</t>
  </si>
  <si>
    <t>MIN Design Temperature(l)</t>
  </si>
  <si>
    <t>MAX Design Temperature</t>
  </si>
  <si>
    <t>Notes</t>
  </si>
  <si>
    <t xml:space="preserve">Airborne infection isolation anteroom </t>
  </si>
  <si>
    <t>E</t>
  </si>
  <si>
    <t>NR</t>
  </si>
  <si>
    <t>Yes</t>
  </si>
  <si>
    <t>No</t>
  </si>
  <si>
    <t>U</t>
  </si>
  <si>
    <t xml:space="preserve">Airborne infection isolation room </t>
  </si>
  <si>
    <t>Negative</t>
  </si>
  <si>
    <t>max 60</t>
  </si>
  <si>
    <t>Airborne infection isolation treatment/exam room</t>
  </si>
  <si>
    <t>Angiography room</t>
  </si>
  <si>
    <t>Positive</t>
  </si>
  <si>
    <t>Bathroom</t>
  </si>
  <si>
    <t>Bedpan room</t>
  </si>
  <si>
    <t>Blood draw/phlebotomy</t>
  </si>
  <si>
    <t>Bronchoscopy, sputum collection, and pentamidine administration</t>
  </si>
  <si>
    <t>N</t>
  </si>
  <si>
    <t>Cardiac catheterization lab</t>
  </si>
  <si>
    <t>Clean linen storage</t>
  </si>
  <si>
    <t>Clean workroom (central medical and surgical supply space)</t>
  </si>
  <si>
    <t>Clean workroom or clean hodling (support)</t>
  </si>
  <si>
    <t>Critical and intensive care</t>
  </si>
  <si>
    <t>30-60</t>
  </si>
  <si>
    <t>CT Scan</t>
  </si>
  <si>
    <t xml:space="preserve">Darkroom </t>
  </si>
  <si>
    <t>G</t>
  </si>
  <si>
    <t xml:space="preserve">Delivery room (caesarean) </t>
  </si>
  <si>
    <t>20-60</t>
  </si>
  <si>
    <t>M, N, O</t>
  </si>
  <si>
    <t>Dialysis treatment area</t>
  </si>
  <si>
    <t>Dialyzer reprocessing room</t>
  </si>
  <si>
    <t>Dietary storage</t>
  </si>
  <si>
    <t>Electroconvulsive therapy procedure room</t>
  </si>
  <si>
    <t>P</t>
  </si>
  <si>
    <t xml:space="preserve">Emergency department exam/treatment room </t>
  </si>
  <si>
    <t>Endoscope cleaning</t>
  </si>
  <si>
    <t>ER decontamination</t>
  </si>
  <si>
    <t>ER waiting rooms</t>
  </si>
  <si>
    <t>max 65</t>
  </si>
  <si>
    <t>q</t>
  </si>
  <si>
    <t>Examination room</t>
  </si>
  <si>
    <t>Fluoroscopy room</t>
  </si>
  <si>
    <t xml:space="preserve">Food preparation center </t>
  </si>
  <si>
    <t>I</t>
  </si>
  <si>
    <t xml:space="preserve">Gastrointestinal endoscopy procedure room </t>
  </si>
  <si>
    <t>X</t>
  </si>
  <si>
    <t>Hazardous material storage</t>
  </si>
  <si>
    <t>Hydrotherapy</t>
  </si>
  <si>
    <t>Infusion room</t>
  </si>
  <si>
    <t xml:space="preserve">Intermediate care </t>
  </si>
  <si>
    <t>S</t>
  </si>
  <si>
    <t>Interventional imaging procedure room</t>
  </si>
  <si>
    <t>IV Prep. room</t>
  </si>
  <si>
    <t>Janitor's closet, housekeeping</t>
  </si>
  <si>
    <t xml:space="preserve">Labor/delivery/recovery  (LDR) </t>
  </si>
  <si>
    <t xml:space="preserve">Labor/delivery/recovery/ postpartum (LDRP) </t>
  </si>
  <si>
    <t xml:space="preserve">Laboratory, bacteriology </t>
  </si>
  <si>
    <t>V</t>
  </si>
  <si>
    <t xml:space="preserve">Laboratory, biochemistry </t>
  </si>
  <si>
    <t xml:space="preserve">Laboratory, cytology </t>
  </si>
  <si>
    <t xml:space="preserve">Laboratory, general </t>
  </si>
  <si>
    <t>Laboratory, glasswashing</t>
  </si>
  <si>
    <t xml:space="preserve">Laboratory, histology </t>
  </si>
  <si>
    <t>Laboratory, infectious disease and virus</t>
  </si>
  <si>
    <t xml:space="preserve">Laboratory, media transfer </t>
  </si>
  <si>
    <t xml:space="preserve">Laboratory, microbiology </t>
  </si>
  <si>
    <t>Laboratory, nuclear medicine </t>
  </si>
  <si>
    <t xml:space="preserve">Laboratory, pathology </t>
  </si>
  <si>
    <t xml:space="preserve">Laboratory, serology </t>
  </si>
  <si>
    <t>Laboratory, sterilizing</t>
  </si>
  <si>
    <t>Lactation</t>
  </si>
  <si>
    <t>Laser eye room</t>
  </si>
  <si>
    <t>Linen and trash chute room</t>
  </si>
  <si>
    <t xml:space="preserve">Medical/anesthesia gas storage </t>
  </si>
  <si>
    <t>R</t>
  </si>
  <si>
    <t>Medication room</t>
  </si>
  <si>
    <t xml:space="preserve">Morgues and autopsy room </t>
  </si>
  <si>
    <t>MRI room</t>
  </si>
  <si>
    <t>Negative-pressure x-ray room</t>
  </si>
  <si>
    <t>Newborn intensive care</t>
  </si>
  <si>
    <t>Newborn intensive care formula room</t>
  </si>
  <si>
    <t>Newborn/well baby nursery suite</t>
  </si>
  <si>
    <t xml:space="preserve">Nonrefrigerated body-holding room </t>
  </si>
  <si>
    <t>H</t>
  </si>
  <si>
    <t>Nourishment area or room</t>
  </si>
  <si>
    <t>Nuclear medicine (Gamma, PET, SPECT)</t>
  </si>
  <si>
    <t>Nuclear medicine hot lab</t>
  </si>
  <si>
    <t>Nuclear medicine treatment room</t>
  </si>
  <si>
    <t xml:space="preserve">Nurse station </t>
  </si>
  <si>
    <t>AA</t>
  </si>
  <si>
    <t>Observation</t>
  </si>
  <si>
    <t>Occupational therapy</t>
  </si>
  <si>
    <t>Operating room, hybrid operating room</t>
  </si>
  <si>
    <t xml:space="preserve">Operating/surgical cystoscopic room </t>
  </si>
  <si>
    <t>Patient holding preparation</t>
  </si>
  <si>
    <t>Patient room</t>
  </si>
  <si>
    <t>y</t>
  </si>
  <si>
    <t>Pediatric play area</t>
  </si>
  <si>
    <t xml:space="preserve">Pharmacy </t>
  </si>
  <si>
    <t>Drug room</t>
  </si>
  <si>
    <t xml:space="preserve">HD ante room </t>
  </si>
  <si>
    <t>&lt;60</t>
  </si>
  <si>
    <t xml:space="preserve">HD buffer room </t>
  </si>
  <si>
    <t xml:space="preserve">HD segregated compounding area </t>
  </si>
  <si>
    <t>AB</t>
  </si>
  <si>
    <t>HD storage</t>
  </si>
  <si>
    <t xml:space="preserve">Non-HD ante room </t>
  </si>
  <si>
    <t xml:space="preserve">Non-HD buffer room </t>
  </si>
  <si>
    <t>Non-HD segregated compounding area</t>
  </si>
  <si>
    <t>Physical therapy (nursing facility)</t>
  </si>
  <si>
    <t>Physical therapy (diagnostic and treatment)</t>
  </si>
  <si>
    <t>Post-anesthesia care unit</t>
  </si>
  <si>
    <t>Pre-screening area</t>
  </si>
  <si>
    <t xml:space="preserve">Procedure room </t>
  </si>
  <si>
    <t>O, D</t>
  </si>
  <si>
    <t xml:space="preserve">Protective environment anteroom </t>
  </si>
  <si>
    <t>(e)</t>
  </si>
  <si>
    <t>T</t>
  </si>
  <si>
    <t xml:space="preserve">Protective environment room </t>
  </si>
  <si>
    <t>Radiology waiting rooms</t>
  </si>
  <si>
    <t>q,w</t>
  </si>
  <si>
    <t>Recovery room</t>
  </si>
  <si>
    <t>Recreation/activity room</t>
  </si>
  <si>
    <t>Resident gathering/activity/dining (nursing facility)</t>
  </si>
  <si>
    <t>Resident room (nursing facility)</t>
  </si>
  <si>
    <t>Resident unit corridor (nursing facility) </t>
  </si>
  <si>
    <t>Seclusion room</t>
  </si>
  <si>
    <t>Semi-restricted corridor</t>
  </si>
  <si>
    <t>Shower room</t>
  </si>
  <si>
    <t>Soiled linen sorting and storage</t>
  </si>
  <si>
    <t>Soiled or decontamination room</t>
  </si>
  <si>
    <t xml:space="preserve">Soiled workroom or soiled holding, utility room </t>
  </si>
  <si>
    <t>Special purpose room (SNF &amp; ICF only)</t>
  </si>
  <si>
    <t>Speech therapy/audiology room</t>
  </si>
  <si>
    <t>Sterile storage</t>
  </si>
  <si>
    <t>Sterilizer equipment room</t>
  </si>
  <si>
    <t>Substerile service area</t>
  </si>
  <si>
    <t>Toilet room</t>
  </si>
  <si>
    <t>Trauma/ cardiac room (crisis or shock)</t>
  </si>
  <si>
    <t xml:space="preserve">Treatment room (surgery and critical care) </t>
  </si>
  <si>
    <t xml:space="preserve">Treatment room (diagnosticand treatment) </t>
  </si>
  <si>
    <t>Triage</t>
  </si>
  <si>
    <t>Ultrasound room</t>
  </si>
  <si>
    <t>Unsterile supply</t>
  </si>
  <si>
    <t>Waiting area (nuclear medicine)</t>
  </si>
  <si>
    <t>Waiting area primary care clinic</t>
  </si>
  <si>
    <t>Warewashing</t>
  </si>
  <si>
    <t>Wound intensive care (burn unit)</t>
  </si>
  <si>
    <t>40-60</t>
  </si>
  <si>
    <t>X-ray (diagnostic and treatment)</t>
  </si>
  <si>
    <t>X-ray (surgery/critical care and catheterization)</t>
  </si>
  <si>
    <t>cav weights and size</t>
  </si>
  <si>
    <t>CUSTOM FUNCTIONS LIST</t>
  </si>
  <si>
    <t>FUNCTION</t>
  </si>
  <si>
    <t xml:space="preserve">EXPANDED </t>
  </si>
  <si>
    <t>MIXEDAIRTEMP</t>
  </si>
  <si>
    <t>MIXEDAIRTEMP (CFM1,T1,CFM2,T2)</t>
  </si>
  <si>
    <t xml:space="preserve">RETURNS MIXED AIR TEMPRATURE IN F </t>
  </si>
  <si>
    <t>Size</t>
  </si>
  <si>
    <t>WEIGHT</t>
  </si>
  <si>
    <t>SENSIBLELOAD</t>
  </si>
  <si>
    <t>SENSIBLELOAD (CFM, EAT, LAT)</t>
  </si>
  <si>
    <t>RETRUNS SENSIBLE LOAD IN BTU/HR</t>
  </si>
  <si>
    <t>GetTRankineFromTFahrenheit</t>
  </si>
  <si>
    <t>Utility function to convert temperature to degree Rankine given temperature in degree Fahrenheit.</t>
  </si>
  <si>
    <t>GetTFahrenheitFromTRankine</t>
  </si>
  <si>
    <t>Utility function to convert temperature to degree Fahrenheit given temperature in degree Rankine.</t>
  </si>
  <si>
    <t>GetTKelvinFromTCelsius</t>
  </si>
  <si>
    <t>Utility function to convert temperature to Kelvin given temperature in degree Celsius.</t>
  </si>
  <si>
    <t>GetTCelsiusFromTKelvin</t>
  </si>
  <si>
    <t>Utility function to convert temperature to degree Celsius given temperature in Kelvin.</t>
  </si>
  <si>
    <t>GetTWetBulbFromTDewPoint</t>
  </si>
  <si>
    <t>Return wet-bulb temperature given dry-bulb temperature, dew-point temperature, and pressure.</t>
  </si>
  <si>
    <t>GetTWetBulbFromRelHum</t>
  </si>
  <si>
    <t>Return wet-bulb temperature given dry-bulb temperature, relative humidity, and pressure.</t>
  </si>
  <si>
    <t>GetRelHumFromTDewPoint</t>
  </si>
  <si>
    <t>Return relative humidity given dry-bulb temperature and dew-point temperature.</t>
  </si>
  <si>
    <t>CONVERSION FACTORS BASED ON ELEVATION</t>
  </si>
  <si>
    <t>GetRelHumFromTWetBulb</t>
  </si>
  <si>
    <t>Return relative humidity given dry-bulb temperature, wet bulb temperature and pressure.</t>
  </si>
  <si>
    <t>PRESSURE</t>
  </si>
  <si>
    <t>PSI</t>
  </si>
  <si>
    <t>GetTDewPointFromRelHum</t>
  </si>
  <si>
    <t>Return dew-point temperature given dry-bulb temperature and relative humidity.</t>
  </si>
  <si>
    <t>DENSITY OF AIR</t>
  </si>
  <si>
    <t>LB/FT3</t>
  </si>
  <si>
    <t>GetTDewPointFromTWetBulb</t>
  </si>
  <si>
    <t>Return dew-point temperature given dry-bulb temperature, wet-bulb temperature, and pressure.</t>
  </si>
  <si>
    <t>SENSIBLE FACTOR</t>
  </si>
  <si>
    <t>GetVapPresFromRelHum</t>
  </si>
  <si>
    <t>Return partial pressure of water vapor as a function of relative humidity and temperature.</t>
  </si>
  <si>
    <t>LATENT FACTOR</t>
  </si>
  <si>
    <t>GetRelHumFromVapPres</t>
  </si>
  <si>
    <t>Return relative humidity given dry-bulb temperature and vapor pressure.</t>
  </si>
  <si>
    <t>GetTWetBulbFromHumRatio</t>
  </si>
  <si>
    <t>Return wet-bulb temperature given dry-bulb temperature, humidity ratio, and pressure.</t>
  </si>
  <si>
    <t>GetHumRatioFromTWetBulb</t>
  </si>
  <si>
    <t>Return humidity ratio given dry-bulb temperature, wet-bulb temperature, and pressure.</t>
  </si>
  <si>
    <t>GetHumRatioFromRelHum</t>
  </si>
  <si>
    <t>Return humidity ratio given dry-bulb temperature, relative humidity, and pressure.</t>
  </si>
  <si>
    <t>GetRelHumFromHumRatio</t>
  </si>
  <si>
    <t>Return relative humidity given dry-bulb temperature, humidity ratio, and pressure.</t>
  </si>
  <si>
    <t>GetHumRatioFromTDewPoint</t>
  </si>
  <si>
    <t>Return humidity ratio given dew-point temperature and pressure.</t>
  </si>
  <si>
    <t>GetTDewPointFromHumRatio</t>
  </si>
  <si>
    <t>Return dew-point temperature given dry-bulb temperature, humidity ratio, and pressure.</t>
  </si>
  <si>
    <t>GetHumRatioFromVapPres</t>
  </si>
  <si>
    <t>Return humidity ratio given water vapor pressure and atmospheric pressure.</t>
  </si>
  <si>
    <t>GetVapPresFromHumRatio</t>
  </si>
  <si>
    <t>Return vapor pressure given humidity ratio and pressure.</t>
  </si>
  <si>
    <t>GetSpecificHumFromHumRatio</t>
  </si>
  <si>
    <t>Return the specific humidity from humidity ratio (aka mixing ratio).</t>
  </si>
  <si>
    <t>GetHumRatioFromSpecificHum</t>
  </si>
  <si>
    <t>Return the humidity ratio (aka mixing ratio) from specific humidity.</t>
  </si>
  <si>
    <t>GetDryAirEnthalpy</t>
  </si>
  <si>
    <t>Return dry-air enthalpy given dry-bulb temperature.</t>
  </si>
  <si>
    <t>GetDryAirDensity</t>
  </si>
  <si>
    <t>Return dry-air density given dry-bulb temperature and pressure.</t>
  </si>
  <si>
    <t>GetDryAirVolume</t>
  </si>
  <si>
    <t>Return dry-air volume given dry-bulb temperature and pressure.</t>
  </si>
  <si>
    <t>GetTDryBulbFromEnthalpyAndHumRatio</t>
  </si>
  <si>
    <t>Return dry bulb temperature from enthalpy and humidity ratio.</t>
  </si>
  <si>
    <t>GetHumRatioFromEnthalpyAndTDryBulb</t>
  </si>
  <si>
    <t>Return humidity ratio from enthalpy and dry-bulb temperature.</t>
  </si>
  <si>
    <t>GetSatVapPres</t>
  </si>
  <si>
    <t>Return saturation vapor pressure given dry-bulb temperature.</t>
  </si>
  <si>
    <t>GetSatHumRatio</t>
  </si>
  <si>
    <t>Return humidity ratio of saturated air given dry-bulb temperature and pressure.</t>
  </si>
  <si>
    <t>GetSatAirEnthalpy</t>
  </si>
  <si>
    <t>Return saturated air enthalpy given dry-bulb temperature and pressure.</t>
  </si>
  <si>
    <t>GetVaporPressureDeficit</t>
  </si>
  <si>
    <t>Return vapor pressure deficit given dry-bulb temperature, humidity ratio, and pressure.</t>
  </si>
  <si>
    <t>GetDegreeOfSaturation</t>
  </si>
  <si>
    <t>Return the degree of saturation (i.e humidity ratio of the air / humidity ratio of the air at saturation at the same temperature and pressure) given dry-bulb temperature, humidity ratio, and atmospheric pressure.</t>
  </si>
  <si>
    <t>GetMoistAirEnthalpy</t>
  </si>
  <si>
    <t>Return moist air enthalpy given dry-bulb temperature and humidity ratio.</t>
  </si>
  <si>
    <t>GetMoistAirVolume</t>
  </si>
  <si>
    <t>Return moist air specific volume given dry-bulb temperature, humidity ratio, and pressure.</t>
  </si>
  <si>
    <t>GetTDryBulbFromMoistAirVolumeAndHumRatio</t>
  </si>
  <si>
    <t>Return dry-bulb temperature given moist air specific volume, humidity ratio, and pressure.</t>
  </si>
  <si>
    <t>GetMoistAirDensity</t>
  </si>
  <si>
    <t>Return moist air density given humidity ratio, dry bulb temperature, and pressure.</t>
  </si>
  <si>
    <t>GetStandardAtmPressure</t>
  </si>
  <si>
    <t>Return standard atmosphere barometric pressure, given the elevation (altitude).</t>
  </si>
  <si>
    <t>GetStandardAtmTemperature</t>
  </si>
  <si>
    <t>Return standard atmosphere temperature, given the elevation (altitude).</t>
  </si>
  <si>
    <t>GetSeaLevelPressure</t>
  </si>
  <si>
    <t>Return sea level pressure given dry-bulb temperature, altitude above sea level and pressure.</t>
  </si>
  <si>
    <t>GetStationPressure</t>
  </si>
  <si>
    <t>Return station pressure from sea level pressure.</t>
  </si>
  <si>
    <t>CalcPsychrometricsFromTWetBulb</t>
  </si>
  <si>
    <t>Utility function to calculate humidity ratio, dew-point temperature, relative humidity, vapour pressure, moist air enthalpy, moist air volume, and degree of saturation of air given dry-bulb temperature, wet-bulb temperature, and pressure.</t>
  </si>
  <si>
    <t>CalcPsychrometricsFromTDewPoint</t>
  </si>
  <si>
    <t>Utility function to calculate humidity ratio, wet-bulb temperature, relative humidity, vapour pressure, moist air enthalpy, moist air volume, and degree of saturation of air given dry-bulb temperature, dew-point temperature, and pressure.</t>
  </si>
  <si>
    <t>CalcPsychrometricsFromRelHum</t>
  </si>
  <si>
    <t>Utility function to calculate humidity ratio, wet-bulb temperature, dew-point temperature, vapour pressure, moist air enthalpy, moist air volume, and degree of saturation of air given dry-bulb temperature, relative humidity and pressure.</t>
  </si>
  <si>
    <t>DESIGN OA (CFM)</t>
  </si>
  <si>
    <t>DESIGN SA (CFM)</t>
  </si>
  <si>
    <t>DESIGN EA (CFM)</t>
  </si>
  <si>
    <t>(˚F db)392</t>
  </si>
  <si>
    <t>(˚F db)403</t>
  </si>
  <si>
    <t>AHU REHEATING COIL</t>
  </si>
  <si>
    <t xml:space="preserve"> </t>
  </si>
  <si>
    <t>Ps (Actual System Population)</t>
  </si>
  <si>
    <t>Total Load</t>
  </si>
  <si>
    <t>Server</t>
  </si>
  <si>
    <t>Vac Pump</t>
  </si>
  <si>
    <t>Transformer</t>
  </si>
  <si>
    <t>Total 
BTUs</t>
  </si>
  <si>
    <t>Server Load 
(BTUs)</t>
  </si>
  <si>
    <t>Watts 
to BTUs</t>
  </si>
  <si>
    <t>Transformer 
BTUs</t>
  </si>
  <si>
    <t>Server Diversity</t>
  </si>
  <si>
    <t>Number of Servers</t>
  </si>
  <si>
    <t>Server Load 
(Watts)</t>
  </si>
  <si>
    <t>Transformer 
Efficiency</t>
  </si>
  <si>
    <t>Transformer 
(KVA)</t>
  </si>
  <si>
    <t>General Equipment 
(Watts)</t>
  </si>
  <si>
    <t>General Equipment 
(BTU/HR)</t>
  </si>
  <si>
    <t>Equipment</t>
  </si>
  <si>
    <t>Servers</t>
  </si>
  <si>
    <t>General Equipment</t>
  </si>
  <si>
    <t>Heat Generating Equipment</t>
  </si>
  <si>
    <t>Mechanical Room</t>
  </si>
  <si>
    <t>FC-1</t>
  </si>
  <si>
    <t>Total Load
(BTUs)</t>
  </si>
  <si>
    <t>Watts Per Sqft 
from Equipment</t>
  </si>
  <si>
    <t>Height (ft)</t>
  </si>
  <si>
    <t>Area
(ft2)</t>
  </si>
  <si>
    <t xml:space="preserve">Room 
number </t>
  </si>
  <si>
    <t>Room 
Name</t>
  </si>
  <si>
    <t>Unit 
Serving</t>
  </si>
  <si>
    <t>Across FCU</t>
  </si>
  <si>
    <t>COOLING COIL PERFORMANCE</t>
  </si>
  <si>
    <t>HEATING COIL PERFORMANCE</t>
  </si>
  <si>
    <t>Unit Loads</t>
  </si>
  <si>
    <t>Unit Loads 
(sensible)</t>
  </si>
  <si>
    <t>Unit Loads 
(dehumidification)</t>
  </si>
  <si>
    <t>Envelope Load 
(BTU/HR)</t>
  </si>
  <si>
    <t>Make up Air / OA required</t>
  </si>
  <si>
    <t>Outside Air (Summer)</t>
  </si>
  <si>
    <t>Room Type</t>
  </si>
  <si>
    <t>Winter Indoor DB</t>
  </si>
  <si>
    <t>Summer Indoor WB</t>
  </si>
  <si>
    <t>Summer Indoor DB</t>
  </si>
  <si>
    <t>199</t>
  </si>
  <si>
    <t>399</t>
  </si>
  <si>
    <t>10000</t>
  </si>
  <si>
    <t>CHILLER TAG</t>
  </si>
  <si>
    <t>DIVERSITY</t>
  </si>
  <si>
    <t>CONDENSER WATER GPM</t>
  </si>
  <si>
    <t>CONDENSER WATER LWT</t>
  </si>
  <si>
    <t>CONDENSER WATER EWT</t>
  </si>
  <si>
    <t>BOILER TAG</t>
  </si>
  <si>
    <t>BOILER EFFICIENCY</t>
  </si>
  <si>
    <t>INPUT MBH</t>
  </si>
  <si>
    <t>INPUT KW</t>
  </si>
  <si>
    <t>BOILER CAPACITY (MBH)</t>
  </si>
  <si>
    <t>CHILLER CAPACITY (TONS)</t>
  </si>
  <si>
    <t>Heat Rejection at Condenser (BTU/HR)</t>
  </si>
  <si>
    <t>TYPE</t>
  </si>
  <si>
    <t>MINIMUM</t>
  </si>
  <si>
    <t>V-Lookup For VAV Sizes</t>
  </si>
  <si>
    <t>Desired Room Balance</t>
  </si>
  <si>
    <t>Calculated VAV Max CFM</t>
  </si>
  <si>
    <t>Exhausted?</t>
  </si>
  <si>
    <t>Toilet</t>
  </si>
  <si>
    <t>Occupant Component</t>
  </si>
  <si>
    <t>Area Component</t>
  </si>
  <si>
    <t>Retail</t>
  </si>
  <si>
    <t>Misc Exhaust From Room</t>
  </si>
  <si>
    <t>CURRENT % OA</t>
  </si>
  <si>
    <t>EV Calculation Method</t>
  </si>
  <si>
    <t>EV CALC METHODS</t>
  </si>
  <si>
    <t>Normative Appendix A</t>
  </si>
  <si>
    <t>Standard</t>
  </si>
  <si>
    <t>Vps</t>
  </si>
  <si>
    <t>Photo</t>
  </si>
  <si>
    <t>Food</t>
  </si>
  <si>
    <t>Room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</si>
</sst>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0\ &quot;CFM&quot;"/>
    <numFmt numFmtId="169" formatCode="0\ &quot;FT²&quot;"/>
    <numFmt numFmtId="170" formatCode="0\ &quot;ROOMS&quot;"/>
    <numFmt numFmtId="171" formatCode="0\ &quot;PEOPLE&quot;"/>
    <numFmt numFmtId="172" formatCode="0.0%"/>
    <numFmt numFmtId="173" formatCode="0&quot; Tons&quot;"/>
  </numFmts>
  <fonts count="52">
    <font>
      <sz val="10"/>
      <name val="Arial"/>
    </font>
    <font>
      <sz val="11"/>
      <color theme="1"/>
      <name val="Century Gothic"/>
      <family val="2"/>
      <scheme val="minor"/>
    </font>
    <font>
      <sz val="10"/>
      <name val="Arial"/>
      <family val="2"/>
    </font>
    <font>
      <sz val="8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b/>
      <sz val="10"/>
      <color rgb="FF000000"/>
      <name val="Tahoma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  <font>
      <u/>
      <sz val="10"/>
      <color theme="10"/>
      <name val="Arial"/>
      <family val="2"/>
    </font>
    <font>
      <u/>
      <sz val="8"/>
      <color theme="10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u/>
      <sz val="8"/>
      <name val="Arial"/>
      <family val="2"/>
    </font>
    <font>
      <sz val="12"/>
      <color rgb="FFFF0000"/>
      <name val="Arial"/>
      <family val="2"/>
    </font>
    <font>
      <sz val="12"/>
      <color indexed="60"/>
      <name val="Arial"/>
      <family val="2"/>
    </font>
    <font>
      <b/>
      <sz val="11"/>
      <color theme="3"/>
      <name val="Century Gothic"/>
      <family val="2"/>
      <scheme val="minor"/>
    </font>
    <font>
      <b/>
      <sz val="8"/>
      <color theme="3"/>
      <name val="Arial"/>
      <family val="2"/>
    </font>
    <font>
      <b/>
      <sz val="12"/>
      <color theme="3"/>
      <name val="Arial"/>
      <family val="2"/>
    </font>
    <font>
      <b/>
      <sz val="11"/>
      <color theme="3"/>
      <name val="Calibri (Body)"/>
    </font>
    <font>
      <sz val="12"/>
      <name val="Calibri"/>
      <family val="2"/>
    </font>
    <font>
      <sz val="12"/>
      <color theme="1"/>
      <name val="Century Gothic"/>
      <family val="2"/>
      <scheme val="minor"/>
    </font>
    <font>
      <b/>
      <sz val="12"/>
      <name val="Arial"/>
      <family val="2"/>
    </font>
    <font>
      <b/>
      <sz val="12"/>
      <color theme="1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sz val="12"/>
      <color rgb="FF00B050"/>
      <name val="Calibri"/>
      <family val="2"/>
    </font>
    <font>
      <b/>
      <sz val="12"/>
      <color rgb="FFFF0000"/>
      <name val="Arial"/>
      <family val="2"/>
    </font>
    <font>
      <b/>
      <sz val="18"/>
      <name val="Arial"/>
      <family val="2"/>
    </font>
    <font>
      <b/>
      <sz val="15"/>
      <color theme="3"/>
      <name val="Century Gothic"/>
      <family val="2"/>
      <scheme val="minor"/>
    </font>
    <font>
      <sz val="14"/>
      <name val="Arial"/>
      <family val="2"/>
    </font>
    <font>
      <b/>
      <sz val="14"/>
      <name val="Arial"/>
      <family val="2"/>
    </font>
    <font>
      <sz val="9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theme="2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15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3"/>
      </right>
      <top/>
      <bottom style="thin">
        <color indexed="22"/>
      </bottom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23"/>
      </left>
      <right/>
      <top/>
      <bottom/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10" fillId="3" borderId="0"/>
    <xf numFmtId="9" fontId="16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" fillId="0" borderId="0"/>
    <xf numFmtId="0" fontId="48" fillId="0" borderId="146" applyNumberFormat="0" applyFill="0" applyAlignment="0" applyProtection="0"/>
  </cellStyleXfs>
  <cellXfs count="367">
    <xf numFmtId="0" fontId="0" fillId="0" borderId="0" xfId="0"/>
    <xf numFmtId="0" fontId="3" fillId="0" borderId="0" xfId="0" applyFont="1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1" xfId="0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11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1" fillId="0" borderId="0" xfId="0" applyFont="1"/>
    <xf numFmtId="0" fontId="2" fillId="0" borderId="0" xfId="0" applyFont="1"/>
    <xf numFmtId="0" fontId="3" fillId="0" borderId="0" xfId="0" applyFont="1" applyAlignment="1">
      <alignment horizontal="center" vertical="center"/>
    </xf>
    <xf numFmtId="165" fontId="7" fillId="0" borderId="0" xfId="0" applyNumberFormat="1" applyFont="1" applyAlignment="1">
      <alignment horizontal="center" vertical="center"/>
    </xf>
    <xf numFmtId="165" fontId="0" fillId="0" borderId="0" xfId="0" applyNumberFormat="1"/>
    <xf numFmtId="0" fontId="0" fillId="0" borderId="0" xfId="0" applyAlignment="1">
      <alignment vertical="center" wrapText="1"/>
    </xf>
    <xf numFmtId="0" fontId="9" fillId="0" borderId="0" xfId="0" applyFont="1"/>
    <xf numFmtId="0" fontId="21" fillId="0" borderId="0" xfId="0" applyFont="1"/>
    <xf numFmtId="0" fontId="17" fillId="0" borderId="14" xfId="0" applyFont="1" applyBorder="1" applyAlignment="1">
      <alignment horizontal="center" vertical="center"/>
    </xf>
    <xf numFmtId="3" fontId="17" fillId="0" borderId="14" xfId="0" applyNumberFormat="1" applyFont="1" applyBorder="1" applyAlignment="1">
      <alignment horizontal="center" vertical="center"/>
    </xf>
    <xf numFmtId="0" fontId="17" fillId="0" borderId="14" xfId="0" applyFont="1" applyBorder="1" applyAlignment="1" applyProtection="1">
      <alignment horizontal="center" vertical="center"/>
      <protection locked="0"/>
    </xf>
    <xf numFmtId="165" fontId="17" fillId="0" borderId="14" xfId="0" applyNumberFormat="1" applyFont="1" applyBorder="1" applyAlignment="1">
      <alignment horizontal="center" vertical="center"/>
    </xf>
    <xf numFmtId="1" fontId="17" fillId="0" borderId="14" xfId="0" applyNumberFormat="1" applyFont="1" applyBorder="1" applyAlignment="1">
      <alignment horizontal="center" vertical="center"/>
    </xf>
    <xf numFmtId="1" fontId="0" fillId="0" borderId="0" xfId="0" applyNumberFormat="1"/>
    <xf numFmtId="0" fontId="9" fillId="0" borderId="6" xfId="0" applyFont="1" applyBorder="1"/>
    <xf numFmtId="165" fontId="9" fillId="0" borderId="6" xfId="0" applyNumberFormat="1" applyFont="1" applyBorder="1"/>
    <xf numFmtId="0" fontId="9" fillId="0" borderId="3" xfId="0" applyFont="1" applyBorder="1"/>
    <xf numFmtId="0" fontId="0" fillId="0" borderId="0" xfId="0" applyAlignment="1">
      <alignment horizontal="left"/>
    </xf>
    <xf numFmtId="0" fontId="9" fillId="0" borderId="0" xfId="0" applyFont="1" applyAlignment="1">
      <alignment horizontal="right"/>
    </xf>
    <xf numFmtId="165" fontId="26" fillId="0" borderId="14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30" fillId="0" borderId="13" xfId="0" applyFont="1" applyBorder="1" applyAlignment="1">
      <alignment horizontal="center" vertical="center" wrapText="1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4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3" fillId="2" borderId="0" xfId="0" applyFont="1" applyFill="1" applyAlignment="1">
      <alignment horizontal="center"/>
    </xf>
    <xf numFmtId="0" fontId="13" fillId="2" borderId="0" xfId="0" applyFont="1" applyFill="1"/>
    <xf numFmtId="0" fontId="32" fillId="0" borderId="0" xfId="0" applyFont="1"/>
    <xf numFmtId="0" fontId="32" fillId="0" borderId="0" xfId="0" applyFont="1" applyAlignment="1">
      <alignment horizontal="center" vertical="center"/>
    </xf>
    <xf numFmtId="164" fontId="14" fillId="0" borderId="0" xfId="0" applyNumberFormat="1" applyFont="1" applyAlignment="1" applyProtection="1">
      <alignment horizontal="center" shrinkToFit="1"/>
      <protection locked="0"/>
    </xf>
    <xf numFmtId="164" fontId="33" fillId="0" borderId="0" xfId="0" applyNumberFormat="1" applyFont="1" applyAlignment="1">
      <alignment horizontal="center" shrinkToFit="1"/>
    </xf>
    <xf numFmtId="164" fontId="33" fillId="0" borderId="0" xfId="0" applyNumberFormat="1" applyFont="1" applyAlignment="1">
      <alignment horizontal="right" shrinkToFit="1"/>
    </xf>
    <xf numFmtId="3" fontId="14" fillId="0" borderId="0" xfId="0" applyNumberFormat="1" applyFont="1" applyAlignment="1">
      <alignment horizontal="center" vertical="center"/>
    </xf>
    <xf numFmtId="164" fontId="1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2" fontId="14" fillId="0" borderId="0" xfId="0" applyNumberFormat="1" applyFont="1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5" xfId="4" applyFont="1" applyBorder="1" applyAlignment="1">
      <alignment vertical="center"/>
    </xf>
    <xf numFmtId="0" fontId="4" fillId="0" borderId="10" xfId="4" applyFont="1" applyBorder="1" applyAlignment="1">
      <alignment vertical="center"/>
    </xf>
    <xf numFmtId="0" fontId="4" fillId="0" borderId="0" xfId="4" applyFont="1" applyAlignment="1">
      <alignment vertical="center"/>
    </xf>
    <xf numFmtId="0" fontId="3" fillId="0" borderId="15" xfId="4" applyFont="1" applyBorder="1" applyAlignment="1">
      <alignment vertical="center"/>
    </xf>
    <xf numFmtId="0" fontId="3" fillId="0" borderId="16" xfId="4" applyFont="1" applyBorder="1" applyAlignment="1">
      <alignment horizontal="center"/>
    </xf>
    <xf numFmtId="0" fontId="3" fillId="0" borderId="17" xfId="4" applyFont="1" applyBorder="1" applyAlignment="1">
      <alignment horizontal="center"/>
    </xf>
    <xf numFmtId="0" fontId="3" fillId="0" borderId="18" xfId="4" applyFont="1" applyBorder="1" applyAlignment="1">
      <alignment horizontal="center"/>
    </xf>
    <xf numFmtId="0" fontId="3" fillId="0" borderId="19" xfId="4" applyFont="1" applyBorder="1" applyAlignment="1">
      <alignment horizontal="center"/>
    </xf>
    <xf numFmtId="0" fontId="3" fillId="0" borderId="15" xfId="4" applyFont="1" applyBorder="1" applyAlignment="1">
      <alignment horizontal="center" vertical="center"/>
    </xf>
    <xf numFmtId="0" fontId="5" fillId="0" borderId="15" xfId="4" applyFont="1" applyBorder="1" applyAlignment="1">
      <alignment horizontal="center" vertical="center"/>
    </xf>
    <xf numFmtId="0" fontId="40" fillId="0" borderId="10" xfId="0" applyFont="1" applyBorder="1" applyAlignment="1">
      <alignment horizontal="center" vertical="center"/>
    </xf>
    <xf numFmtId="0" fontId="40" fillId="0" borderId="21" xfId="0" applyFont="1" applyBorder="1" applyAlignment="1">
      <alignment horizontal="center" vertical="center"/>
    </xf>
    <xf numFmtId="0" fontId="40" fillId="0" borderId="21" xfId="0" applyFont="1" applyBorder="1" applyAlignment="1">
      <alignment horizontal="center" vertical="center" wrapText="1"/>
    </xf>
    <xf numFmtId="0" fontId="40" fillId="0" borderId="0" xfId="0" applyFont="1" applyAlignment="1">
      <alignment horizontal="center" vertical="center" wrapText="1"/>
    </xf>
    <xf numFmtId="1" fontId="40" fillId="0" borderId="21" xfId="0" applyNumberFormat="1" applyFont="1" applyBorder="1" applyAlignment="1">
      <alignment horizontal="center" vertical="center" wrapText="1"/>
    </xf>
    <xf numFmtId="0" fontId="40" fillId="0" borderId="10" xfId="0" applyFont="1" applyBorder="1" applyAlignment="1">
      <alignment horizontal="center" vertical="center" wrapText="1"/>
    </xf>
    <xf numFmtId="0" fontId="40" fillId="0" borderId="12" xfId="0" applyFont="1" applyBorder="1" applyAlignment="1">
      <alignment horizontal="center" vertical="center"/>
    </xf>
    <xf numFmtId="9" fontId="39" fillId="0" borderId="20" xfId="2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4" applyAlignment="1">
      <alignment horizontal="center"/>
    </xf>
    <xf numFmtId="0" fontId="2" fillId="0" borderId="0" xfId="0" applyFont="1" applyAlignment="1">
      <alignment horizontal="center"/>
    </xf>
    <xf numFmtId="43" fontId="2" fillId="0" borderId="0" xfId="4" applyNumberFormat="1" applyAlignment="1">
      <alignment horizontal="center"/>
    </xf>
    <xf numFmtId="2" fontId="2" fillId="0" borderId="0" xfId="4" applyNumberFormat="1" applyAlignment="1">
      <alignment horizontal="center"/>
    </xf>
    <xf numFmtId="9" fontId="17" fillId="0" borderId="0" xfId="0" applyNumberFormat="1" applyFont="1" applyAlignment="1">
      <alignment horizontal="center" vertical="center"/>
    </xf>
    <xf numFmtId="1" fontId="40" fillId="0" borderId="0" xfId="0" applyNumberFormat="1" applyFont="1" applyAlignment="1">
      <alignment horizontal="center" vertical="center" wrapText="1"/>
    </xf>
    <xf numFmtId="0" fontId="36" fillId="7" borderId="3" xfId="0" applyFont="1" applyFill="1" applyBorder="1" applyAlignment="1">
      <alignment horizontal="center" vertical="center"/>
    </xf>
    <xf numFmtId="166" fontId="14" fillId="0" borderId="6" xfId="0" applyNumberFormat="1" applyFont="1" applyBorder="1" applyAlignment="1">
      <alignment horizontal="center" vertical="center"/>
    </xf>
    <xf numFmtId="0" fontId="13" fillId="2" borderId="13" xfId="0" applyFont="1" applyFill="1" applyBorder="1" applyAlignment="1" applyProtection="1">
      <alignment horizontal="center" vertical="center"/>
      <protection locked="0"/>
    </xf>
    <xf numFmtId="0" fontId="13" fillId="2" borderId="2" xfId="0" applyFont="1" applyFill="1" applyBorder="1" applyAlignment="1" applyProtection="1">
      <alignment horizontal="left" vertical="center"/>
      <protection locked="0"/>
    </xf>
    <xf numFmtId="0" fontId="13" fillId="2" borderId="2" xfId="0" applyFont="1" applyFill="1" applyBorder="1" applyAlignment="1" applyProtection="1">
      <alignment horizontal="center" vertical="center" wrapText="1"/>
      <protection locked="0"/>
    </xf>
    <xf numFmtId="9" fontId="13" fillId="6" borderId="2" xfId="0" applyNumberFormat="1" applyFont="1" applyFill="1" applyBorder="1" applyAlignment="1" applyProtection="1">
      <alignment horizontal="center" vertical="center" wrapText="1"/>
      <protection locked="0"/>
    </xf>
    <xf numFmtId="0" fontId="13" fillId="2" borderId="12" xfId="0" applyFont="1" applyFill="1" applyBorder="1" applyAlignment="1" applyProtection="1">
      <alignment horizontal="center" vertical="center" wrapText="1"/>
      <protection locked="0"/>
    </xf>
    <xf numFmtId="0" fontId="2" fillId="0" borderId="0" xfId="4" applyAlignment="1">
      <alignment horizontal="left"/>
    </xf>
    <xf numFmtId="0" fontId="2" fillId="0" borderId="0" xfId="4"/>
    <xf numFmtId="4" fontId="0" fillId="0" borderId="0" xfId="0" applyNumberFormat="1"/>
    <xf numFmtId="0" fontId="43" fillId="0" borderId="0" xfId="0" applyFont="1"/>
    <xf numFmtId="0" fontId="44" fillId="0" borderId="0" xfId="0" applyFont="1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14" fillId="0" borderId="23" xfId="0" applyFont="1" applyBorder="1" applyAlignment="1">
      <alignment horizontal="center" vertical="center"/>
    </xf>
    <xf numFmtId="0" fontId="18" fillId="0" borderId="24" xfId="0" applyFont="1" applyBorder="1" applyAlignment="1">
      <alignment horizontal="center" vertical="center" wrapText="1"/>
    </xf>
    <xf numFmtId="164" fontId="14" fillId="0" borderId="27" xfId="0" applyNumberFormat="1" applyFont="1" applyBorder="1" applyAlignment="1">
      <alignment horizontal="center" shrinkToFit="1"/>
    </xf>
    <xf numFmtId="1" fontId="14" fillId="0" borderId="25" xfId="0" applyNumberFormat="1" applyFont="1" applyBorder="1" applyAlignment="1">
      <alignment horizontal="center" vertical="center"/>
    </xf>
    <xf numFmtId="0" fontId="14" fillId="0" borderId="25" xfId="0" applyFont="1" applyBorder="1" applyAlignment="1">
      <alignment horizontal="center" vertical="center"/>
    </xf>
    <xf numFmtId="0" fontId="14" fillId="0" borderId="27" xfId="0" applyFont="1" applyBorder="1" applyAlignment="1">
      <alignment vertical="center"/>
    </xf>
    <xf numFmtId="0" fontId="36" fillId="7" borderId="25" xfId="0" applyFont="1" applyFill="1" applyBorder="1" applyAlignment="1">
      <alignment horizontal="center" vertical="center"/>
    </xf>
    <xf numFmtId="0" fontId="14" fillId="0" borderId="25" xfId="0" applyFont="1" applyBorder="1" applyAlignment="1">
      <alignment horizontal="center" vertical="center" shrinkToFit="1"/>
    </xf>
    <xf numFmtId="0" fontId="13" fillId="0" borderId="25" xfId="0" applyFont="1" applyBorder="1" applyAlignment="1">
      <alignment horizontal="center" vertical="center" wrapText="1"/>
    </xf>
    <xf numFmtId="1" fontId="13" fillId="0" borderId="25" xfId="0" applyNumberFormat="1" applyFont="1" applyBorder="1" applyAlignment="1">
      <alignment horizontal="center" vertical="center" wrapText="1"/>
    </xf>
    <xf numFmtId="2" fontId="13" fillId="0" borderId="25" xfId="0" applyNumberFormat="1" applyFont="1" applyBorder="1" applyAlignment="1">
      <alignment horizontal="center" vertical="center" wrapText="1"/>
    </xf>
    <xf numFmtId="1" fontId="36" fillId="7" borderId="25" xfId="0" applyNumberFormat="1" applyFont="1" applyFill="1" applyBorder="1" applyAlignment="1" applyProtection="1">
      <alignment horizontal="center" vertical="center" wrapText="1"/>
      <protection locked="0"/>
    </xf>
    <xf numFmtId="166" fontId="14" fillId="0" borderId="25" xfId="0" applyNumberFormat="1" applyFont="1" applyBorder="1" applyAlignment="1">
      <alignment horizontal="center" vertical="center"/>
    </xf>
    <xf numFmtId="0" fontId="13" fillId="2" borderId="25" xfId="0" applyFont="1" applyFill="1" applyBorder="1" applyAlignment="1" applyProtection="1">
      <alignment horizontal="center" vertical="center" wrapText="1"/>
      <protection locked="0"/>
    </xf>
    <xf numFmtId="0" fontId="13" fillId="0" borderId="25" xfId="0" applyFont="1" applyBorder="1" applyAlignment="1" applyProtection="1">
      <alignment horizontal="center" vertical="center" wrapText="1"/>
      <protection locked="0"/>
    </xf>
    <xf numFmtId="165" fontId="14" fillId="0" borderId="25" xfId="0" applyNumberFormat="1" applyFont="1" applyBorder="1" applyAlignment="1">
      <alignment horizontal="center" vertical="center"/>
    </xf>
    <xf numFmtId="0" fontId="18" fillId="0" borderId="26" xfId="0" applyFont="1" applyBorder="1" applyAlignment="1">
      <alignment horizontal="center" vertical="center"/>
    </xf>
    <xf numFmtId="164" fontId="14" fillId="0" borderId="26" xfId="0" applyNumberFormat="1" applyFont="1" applyBorder="1" applyAlignment="1">
      <alignment horizontal="center" shrinkToFit="1"/>
    </xf>
    <xf numFmtId="164" fontId="14" fillId="0" borderId="26" xfId="0" applyNumberFormat="1" applyFont="1" applyBorder="1" applyAlignment="1">
      <alignment horizontal="center" vertical="center" shrinkToFit="1"/>
    </xf>
    <xf numFmtId="0" fontId="14" fillId="0" borderId="26" xfId="0" applyFont="1" applyBorder="1" applyAlignment="1">
      <alignment horizontal="center" vertical="center"/>
    </xf>
    <xf numFmtId="0" fontId="13" fillId="0" borderId="24" xfId="0" applyFont="1" applyBorder="1" applyAlignment="1" applyProtection="1">
      <alignment horizontal="center" vertical="center" wrapText="1"/>
      <protection locked="0"/>
    </xf>
    <xf numFmtId="0" fontId="13" fillId="0" borderId="26" xfId="0" applyFont="1" applyBorder="1" applyAlignment="1" applyProtection="1">
      <alignment horizontal="center" vertical="center" wrapText="1"/>
      <protection locked="0"/>
    </xf>
    <xf numFmtId="0" fontId="14" fillId="0" borderId="26" xfId="0" applyFont="1" applyBorder="1" applyAlignment="1" applyProtection="1">
      <alignment horizontal="center" vertical="center"/>
      <protection locked="0"/>
    </xf>
    <xf numFmtId="165" fontId="14" fillId="0" borderId="26" xfId="0" applyNumberFormat="1" applyFont="1" applyBorder="1" applyAlignment="1" applyProtection="1">
      <alignment horizontal="center" vertical="center"/>
      <protection locked="0"/>
    </xf>
    <xf numFmtId="0" fontId="14" fillId="0" borderId="27" xfId="0" applyFont="1" applyBorder="1" applyAlignment="1" applyProtection="1">
      <alignment horizontal="center" vertical="center"/>
      <protection locked="0"/>
    </xf>
    <xf numFmtId="0" fontId="13" fillId="0" borderId="25" xfId="0" applyFont="1" applyBorder="1" applyAlignment="1">
      <alignment horizontal="center" vertical="center"/>
    </xf>
    <xf numFmtId="0" fontId="13" fillId="0" borderId="25" xfId="0" applyFont="1" applyBorder="1" applyAlignment="1" applyProtection="1">
      <alignment horizontal="center" vertical="center"/>
      <protection locked="0"/>
    </xf>
    <xf numFmtId="1" fontId="13" fillId="0" borderId="25" xfId="0" applyNumberFormat="1" applyFont="1" applyBorder="1" applyAlignment="1" applyProtection="1">
      <alignment horizontal="center" vertical="center"/>
      <protection locked="0"/>
    </xf>
    <xf numFmtId="0" fontId="14" fillId="0" borderId="25" xfId="0" applyFont="1" applyBorder="1" applyAlignment="1" applyProtection="1">
      <alignment horizontal="center" vertical="center"/>
      <protection locked="0"/>
    </xf>
    <xf numFmtId="165" fontId="14" fillId="0" borderId="25" xfId="0" applyNumberFormat="1" applyFont="1" applyBorder="1" applyAlignment="1" applyProtection="1">
      <alignment horizontal="center" vertical="center"/>
      <protection locked="0"/>
    </xf>
    <xf numFmtId="0" fontId="9" fillId="0" borderId="25" xfId="0" applyFont="1" applyBorder="1" applyAlignment="1">
      <alignment horizontal="center" vertical="center"/>
    </xf>
    <xf numFmtId="165" fontId="35" fillId="7" borderId="25" xfId="0" applyNumberFormat="1" applyFont="1" applyFill="1" applyBorder="1" applyAlignment="1" applyProtection="1">
      <alignment horizontal="center" vertical="center"/>
      <protection locked="0"/>
    </xf>
    <xf numFmtId="0" fontId="35" fillId="7" borderId="25" xfId="0" applyFont="1" applyFill="1" applyBorder="1" applyAlignment="1" applyProtection="1">
      <alignment horizontal="center" vertical="center"/>
      <protection locked="0"/>
    </xf>
    <xf numFmtId="0" fontId="9" fillId="0" borderId="25" xfId="0" applyFont="1" applyBorder="1" applyAlignment="1">
      <alignment horizontal="left"/>
    </xf>
    <xf numFmtId="9" fontId="35" fillId="7" borderId="25" xfId="2" applyFont="1" applyFill="1" applyBorder="1" applyAlignment="1" applyProtection="1">
      <alignment horizontal="center" vertical="center"/>
      <protection locked="0"/>
    </xf>
    <xf numFmtId="49" fontId="2" fillId="0" borderId="25" xfId="0" applyNumberFormat="1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/>
    </xf>
    <xf numFmtId="165" fontId="7" fillId="0" borderId="25" xfId="0" applyNumberFormat="1" applyFont="1" applyBorder="1" applyAlignment="1">
      <alignment horizontal="center" vertical="center"/>
    </xf>
    <xf numFmtId="1" fontId="7" fillId="0" borderId="25" xfId="0" applyNumberFormat="1" applyFont="1" applyBorder="1" applyAlignment="1">
      <alignment horizontal="center" vertical="center"/>
    </xf>
    <xf numFmtId="49" fontId="11" fillId="0" borderId="25" xfId="0" applyNumberFormat="1" applyFont="1" applyBorder="1" applyAlignment="1">
      <alignment horizontal="center" vertical="center" wrapText="1"/>
    </xf>
    <xf numFmtId="0" fontId="11" fillId="0" borderId="25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1" fontId="1" fillId="0" borderId="25" xfId="0" applyNumberFormat="1" applyFont="1" applyBorder="1" applyAlignment="1">
      <alignment horizontal="center" vertical="center"/>
    </xf>
    <xf numFmtId="1" fontId="11" fillId="0" borderId="25" xfId="0" applyNumberFormat="1" applyFont="1" applyBorder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3" fontId="7" fillId="0" borderId="25" xfId="0" applyNumberFormat="1" applyFont="1" applyBorder="1" applyAlignment="1">
      <alignment horizontal="center" vertical="center"/>
    </xf>
    <xf numFmtId="165" fontId="37" fillId="7" borderId="25" xfId="0" applyNumberFormat="1" applyFont="1" applyFill="1" applyBorder="1" applyAlignment="1" applyProtection="1">
      <alignment horizontal="center" vertical="center"/>
      <protection locked="0"/>
    </xf>
    <xf numFmtId="0" fontId="34" fillId="7" borderId="25" xfId="0" applyFont="1" applyFill="1" applyBorder="1" applyAlignment="1">
      <alignment horizontal="center" vertical="center"/>
    </xf>
    <xf numFmtId="165" fontId="2" fillId="0" borderId="25" xfId="0" applyNumberFormat="1" applyFont="1" applyBorder="1" applyAlignment="1">
      <alignment horizontal="center" vertical="center"/>
    </xf>
    <xf numFmtId="1" fontId="2" fillId="0" borderId="25" xfId="0" applyNumberFormat="1" applyFont="1" applyBorder="1" applyAlignment="1">
      <alignment horizontal="center" vertical="center"/>
    </xf>
    <xf numFmtId="165" fontId="34" fillId="7" borderId="25" xfId="0" applyNumberFormat="1" applyFont="1" applyFill="1" applyBorder="1" applyAlignment="1">
      <alignment horizontal="center" vertical="center"/>
    </xf>
    <xf numFmtId="167" fontId="7" fillId="0" borderId="25" xfId="0" applyNumberFormat="1" applyFont="1" applyBorder="1" applyAlignment="1">
      <alignment horizontal="center" vertical="center"/>
    </xf>
    <xf numFmtId="165" fontId="13" fillId="0" borderId="25" xfId="0" applyNumberFormat="1" applyFont="1" applyBorder="1" applyAlignment="1">
      <alignment horizontal="center" vertical="center" wrapText="1"/>
    </xf>
    <xf numFmtId="1" fontId="36" fillId="7" borderId="25" xfId="0" applyNumberFormat="1" applyFont="1" applyFill="1" applyBorder="1" applyAlignment="1">
      <alignment horizontal="center" vertical="center"/>
    </xf>
    <xf numFmtId="0" fontId="4" fillId="0" borderId="21" xfId="4" applyFont="1" applyBorder="1" applyAlignment="1">
      <alignment vertical="center"/>
    </xf>
    <xf numFmtId="0" fontId="4" fillId="0" borderId="22" xfId="4" applyFont="1" applyBorder="1" applyAlignment="1">
      <alignment vertical="center"/>
    </xf>
    <xf numFmtId="0" fontId="4" fillId="0" borderId="28" xfId="4" applyFont="1" applyBorder="1" applyAlignment="1">
      <alignment vertical="center"/>
    </xf>
    <xf numFmtId="0" fontId="3" fillId="0" borderId="29" xfId="4" applyFont="1" applyBorder="1" applyAlignment="1">
      <alignment horizontal="center" vertical="center"/>
    </xf>
    <xf numFmtId="0" fontId="3" fillId="0" borderId="29" xfId="4" applyFont="1" applyBorder="1" applyAlignment="1">
      <alignment vertical="center"/>
    </xf>
    <xf numFmtId="0" fontId="3" fillId="0" borderId="30" xfId="4" applyFont="1" applyBorder="1" applyAlignment="1">
      <alignment horizontal="center" vertical="center"/>
    </xf>
    <xf numFmtId="0" fontId="3" fillId="0" borderId="31" xfId="4" applyFont="1" applyBorder="1" applyAlignment="1">
      <alignment horizontal="center" vertical="center"/>
    </xf>
    <xf numFmtId="0" fontId="3" fillId="0" borderId="32" xfId="4" applyFont="1" applyBorder="1" applyAlignment="1">
      <alignment horizontal="center" vertical="center"/>
    </xf>
    <xf numFmtId="0" fontId="3" fillId="0" borderId="33" xfId="4" applyFont="1" applyBorder="1" applyAlignment="1">
      <alignment horizontal="center" vertical="center"/>
    </xf>
    <xf numFmtId="0" fontId="3" fillId="0" borderId="34" xfId="4" applyFont="1" applyBorder="1" applyAlignment="1">
      <alignment horizontal="center" vertical="center"/>
    </xf>
    <xf numFmtId="0" fontId="5" fillId="0" borderId="29" xfId="4" applyFont="1" applyBorder="1" applyAlignment="1">
      <alignment horizontal="center" vertical="center"/>
    </xf>
    <xf numFmtId="0" fontId="3" fillId="0" borderId="35" xfId="4" applyFont="1" applyBorder="1" applyAlignment="1">
      <alignment horizontal="left" vertical="center"/>
    </xf>
    <xf numFmtId="0" fontId="3" fillId="0" borderId="36" xfId="4" applyFont="1" applyBorder="1" applyAlignment="1">
      <alignment horizontal="center" vertical="center"/>
    </xf>
    <xf numFmtId="0" fontId="3" fillId="0" borderId="37" xfId="4" applyFont="1" applyBorder="1" applyAlignment="1">
      <alignment horizontal="center" vertical="center"/>
    </xf>
    <xf numFmtId="0" fontId="3" fillId="0" borderId="38" xfId="4" applyFont="1" applyBorder="1" applyAlignment="1">
      <alignment horizontal="left" vertical="center"/>
    </xf>
    <xf numFmtId="0" fontId="3" fillId="0" borderId="39" xfId="4" applyFont="1" applyBorder="1" applyAlignment="1">
      <alignment horizontal="center" vertical="center"/>
    </xf>
    <xf numFmtId="0" fontId="3" fillId="0" borderId="40" xfId="4" applyFont="1" applyBorder="1" applyAlignment="1">
      <alignment horizontal="center" vertical="center"/>
    </xf>
    <xf numFmtId="0" fontId="3" fillId="0" borderId="41" xfId="4" applyFont="1" applyBorder="1" applyAlignment="1">
      <alignment horizontal="left" vertical="center"/>
    </xf>
    <xf numFmtId="0" fontId="3" fillId="0" borderId="42" xfId="4" applyFont="1" applyBorder="1" applyAlignment="1">
      <alignment horizontal="center" vertical="center"/>
    </xf>
    <xf numFmtId="0" fontId="3" fillId="0" borderId="43" xfId="4" applyFont="1" applyBorder="1" applyAlignment="1">
      <alignment horizontal="center" vertical="center"/>
    </xf>
    <xf numFmtId="0" fontId="3" fillId="0" borderId="44" xfId="4" applyFont="1" applyBorder="1" applyAlignment="1">
      <alignment horizontal="left" vertical="center"/>
    </xf>
    <xf numFmtId="0" fontId="3" fillId="0" borderId="45" xfId="4" applyFont="1" applyBorder="1" applyAlignment="1">
      <alignment horizontal="center" vertical="center"/>
    </xf>
    <xf numFmtId="0" fontId="3" fillId="0" borderId="46" xfId="4" applyFont="1" applyBorder="1" applyAlignment="1">
      <alignment horizontal="center" vertical="center"/>
    </xf>
    <xf numFmtId="0" fontId="3" fillId="0" borderId="47" xfId="4" applyFont="1" applyBorder="1" applyAlignment="1">
      <alignment horizontal="left" vertical="center"/>
    </xf>
    <xf numFmtId="0" fontId="3" fillId="0" borderId="48" xfId="4" applyFont="1" applyBorder="1" applyAlignment="1">
      <alignment horizontal="center" vertical="center"/>
    </xf>
    <xf numFmtId="0" fontId="3" fillId="0" borderId="49" xfId="4" applyFont="1" applyBorder="1" applyAlignment="1">
      <alignment horizontal="center" vertical="center"/>
    </xf>
    <xf numFmtId="0" fontId="3" fillId="0" borderId="50" xfId="4" applyFont="1" applyBorder="1" applyAlignment="1">
      <alignment horizontal="left" vertical="center"/>
    </xf>
    <xf numFmtId="0" fontId="3" fillId="0" borderId="51" xfId="4" applyFont="1" applyBorder="1" applyAlignment="1">
      <alignment horizontal="center" vertical="center"/>
    </xf>
    <xf numFmtId="0" fontId="3" fillId="0" borderId="52" xfId="4" applyFont="1" applyBorder="1" applyAlignment="1">
      <alignment horizontal="center" vertical="center"/>
    </xf>
    <xf numFmtId="0" fontId="3" fillId="0" borderId="53" xfId="4" applyFont="1" applyBorder="1" applyAlignment="1">
      <alignment horizontal="left" vertical="center"/>
    </xf>
    <xf numFmtId="0" fontId="3" fillId="0" borderId="54" xfId="4" applyFont="1" applyBorder="1" applyAlignment="1">
      <alignment horizontal="center" vertical="center"/>
    </xf>
    <xf numFmtId="0" fontId="3" fillId="0" borderId="55" xfId="4" applyFont="1" applyBorder="1" applyAlignment="1">
      <alignment horizontal="center" vertical="center"/>
    </xf>
    <xf numFmtId="0" fontId="3" fillId="0" borderId="56" xfId="4" applyFont="1" applyBorder="1" applyAlignment="1">
      <alignment horizontal="left" vertical="center"/>
    </xf>
    <xf numFmtId="0" fontId="3" fillId="0" borderId="57" xfId="4" applyFont="1" applyBorder="1" applyAlignment="1">
      <alignment horizontal="center" vertical="center"/>
    </xf>
    <xf numFmtId="0" fontId="3" fillId="0" borderId="58" xfId="4" applyFont="1" applyBorder="1" applyAlignment="1">
      <alignment horizontal="center" vertical="center"/>
    </xf>
    <xf numFmtId="0" fontId="3" fillId="0" borderId="58" xfId="4" applyFont="1" applyBorder="1" applyAlignment="1">
      <alignment vertical="center"/>
    </xf>
    <xf numFmtId="0" fontId="3" fillId="0" borderId="59" xfId="4" applyFont="1" applyBorder="1" applyAlignment="1">
      <alignment horizontal="left" vertical="center"/>
    </xf>
    <xf numFmtId="0" fontId="3" fillId="0" borderId="60" xfId="4" applyFont="1" applyBorder="1" applyAlignment="1">
      <alignment horizontal="center" vertical="center"/>
    </xf>
    <xf numFmtId="0" fontId="3" fillId="0" borderId="61" xfId="4" applyFont="1" applyBorder="1" applyAlignment="1">
      <alignment horizontal="center" vertical="center"/>
    </xf>
    <xf numFmtId="0" fontId="3" fillId="0" borderId="62" xfId="4" applyFont="1" applyBorder="1" applyAlignment="1">
      <alignment horizontal="left" vertical="center"/>
    </xf>
    <xf numFmtId="0" fontId="3" fillId="0" borderId="63" xfId="4" applyFont="1" applyBorder="1" applyAlignment="1">
      <alignment horizontal="center" vertical="center"/>
    </xf>
    <xf numFmtId="0" fontId="3" fillId="0" borderId="64" xfId="4" applyFont="1" applyBorder="1" applyAlignment="1">
      <alignment horizontal="center" vertical="center"/>
    </xf>
    <xf numFmtId="0" fontId="3" fillId="0" borderId="65" xfId="4" applyFont="1" applyBorder="1" applyAlignment="1">
      <alignment horizontal="left" vertical="center"/>
    </xf>
    <xf numFmtId="0" fontId="3" fillId="0" borderId="66" xfId="4" applyFont="1" applyBorder="1" applyAlignment="1">
      <alignment horizontal="center" vertical="center"/>
    </xf>
    <xf numFmtId="0" fontId="3" fillId="0" borderId="67" xfId="4" applyFont="1" applyBorder="1" applyAlignment="1">
      <alignment horizontal="center" vertical="center"/>
    </xf>
    <xf numFmtId="0" fontId="3" fillId="0" borderId="68" xfId="4" applyFont="1" applyBorder="1" applyAlignment="1">
      <alignment horizontal="left" vertical="center"/>
    </xf>
    <xf numFmtId="0" fontId="3" fillId="0" borderId="69" xfId="4" applyFont="1" applyBorder="1" applyAlignment="1">
      <alignment horizontal="center" vertical="center"/>
    </xf>
    <xf numFmtId="0" fontId="3" fillId="0" borderId="70" xfId="4" applyFont="1" applyBorder="1" applyAlignment="1">
      <alignment horizontal="center" vertical="center"/>
    </xf>
    <xf numFmtId="0" fontId="3" fillId="0" borderId="71" xfId="4" applyFont="1" applyBorder="1" applyAlignment="1">
      <alignment horizontal="left" vertical="center"/>
    </xf>
    <xf numFmtId="0" fontId="3" fillId="0" borderId="72" xfId="4" applyFont="1" applyBorder="1" applyAlignment="1">
      <alignment horizontal="center" vertical="center"/>
    </xf>
    <xf numFmtId="0" fontId="3" fillId="0" borderId="73" xfId="4" applyFont="1" applyBorder="1" applyAlignment="1">
      <alignment horizontal="center" vertical="center"/>
    </xf>
    <xf numFmtId="0" fontId="3" fillId="0" borderId="74" xfId="4" applyFont="1" applyBorder="1" applyAlignment="1">
      <alignment horizontal="left" vertical="center"/>
    </xf>
    <xf numFmtId="0" fontId="3" fillId="0" borderId="75" xfId="4" applyFont="1" applyBorder="1" applyAlignment="1">
      <alignment horizontal="center" vertical="center"/>
    </xf>
    <xf numFmtId="0" fontId="3" fillId="0" borderId="76" xfId="4" applyFont="1" applyBorder="1" applyAlignment="1">
      <alignment horizontal="center" vertical="center"/>
    </xf>
    <xf numFmtId="0" fontId="3" fillId="0" borderId="77" xfId="4" applyFont="1" applyBorder="1" applyAlignment="1">
      <alignment horizontal="left" vertical="center"/>
    </xf>
    <xf numFmtId="0" fontId="3" fillId="0" borderId="78" xfId="4" applyFont="1" applyBorder="1" applyAlignment="1">
      <alignment horizontal="center" vertical="center"/>
    </xf>
    <xf numFmtId="0" fontId="3" fillId="0" borderId="79" xfId="4" applyFont="1" applyBorder="1" applyAlignment="1">
      <alignment horizontal="center" vertical="center"/>
    </xf>
    <xf numFmtId="0" fontId="3" fillId="0" borderId="80" xfId="4" applyFont="1" applyBorder="1" applyAlignment="1">
      <alignment horizontal="left" vertical="center"/>
    </xf>
    <xf numFmtId="0" fontId="3" fillId="0" borderId="81" xfId="4" applyFont="1" applyBorder="1" applyAlignment="1">
      <alignment horizontal="center" vertical="center"/>
    </xf>
    <xf numFmtId="0" fontId="3" fillId="0" borderId="82" xfId="4" applyFont="1" applyBorder="1" applyAlignment="1">
      <alignment horizontal="center" vertical="center"/>
    </xf>
    <xf numFmtId="0" fontId="3" fillId="0" borderId="83" xfId="4" applyFont="1" applyBorder="1" applyAlignment="1">
      <alignment horizontal="left" vertical="center"/>
    </xf>
    <xf numFmtId="0" fontId="3" fillId="0" borderId="84" xfId="4" applyFont="1" applyBorder="1" applyAlignment="1">
      <alignment horizontal="center" vertical="center"/>
    </xf>
    <xf numFmtId="0" fontId="3" fillId="0" borderId="85" xfId="4" applyFont="1" applyBorder="1" applyAlignment="1">
      <alignment horizontal="center" vertical="center"/>
    </xf>
    <xf numFmtId="0" fontId="3" fillId="0" borderId="86" xfId="4" applyFont="1" applyBorder="1" applyAlignment="1">
      <alignment horizontal="left" vertical="center"/>
    </xf>
    <xf numFmtId="0" fontId="3" fillId="0" borderId="87" xfId="4" applyFont="1" applyBorder="1" applyAlignment="1">
      <alignment horizontal="center" vertical="center"/>
    </xf>
    <xf numFmtId="0" fontId="3" fillId="0" borderId="88" xfId="4" applyFont="1" applyBorder="1" applyAlignment="1">
      <alignment horizontal="center" vertical="center"/>
    </xf>
    <xf numFmtId="0" fontId="3" fillId="0" borderId="89" xfId="4" applyFont="1" applyBorder="1" applyAlignment="1">
      <alignment horizontal="left" vertical="center"/>
    </xf>
    <xf numFmtId="0" fontId="3" fillId="0" borderId="90" xfId="4" applyFont="1" applyBorder="1" applyAlignment="1">
      <alignment horizontal="center" vertical="center"/>
    </xf>
    <xf numFmtId="0" fontId="3" fillId="0" borderId="91" xfId="4" applyFont="1" applyBorder="1" applyAlignment="1">
      <alignment horizontal="center" vertical="center"/>
    </xf>
    <xf numFmtId="0" fontId="3" fillId="0" borderId="92" xfId="4" applyFont="1" applyBorder="1" applyAlignment="1">
      <alignment horizontal="left" vertical="center"/>
    </xf>
    <xf numFmtId="0" fontId="3" fillId="0" borderId="93" xfId="4" applyFont="1" applyBorder="1" applyAlignment="1">
      <alignment horizontal="center" vertical="center"/>
    </xf>
    <xf numFmtId="0" fontId="3" fillId="0" borderId="94" xfId="4" applyFont="1" applyBorder="1" applyAlignment="1">
      <alignment horizontal="center" vertical="center"/>
    </xf>
    <xf numFmtId="0" fontId="3" fillId="0" borderId="95" xfId="4" applyFont="1" applyBorder="1" applyAlignment="1">
      <alignment horizontal="left" vertical="center"/>
    </xf>
    <xf numFmtId="0" fontId="3" fillId="0" borderId="96" xfId="4" applyFont="1" applyBorder="1" applyAlignment="1">
      <alignment horizontal="center" vertical="center"/>
    </xf>
    <xf numFmtId="0" fontId="3" fillId="0" borderId="97" xfId="4" applyFont="1" applyBorder="1" applyAlignment="1">
      <alignment horizontal="center" vertical="center"/>
    </xf>
    <xf numFmtId="0" fontId="3" fillId="0" borderId="98" xfId="4" applyFont="1" applyBorder="1" applyAlignment="1">
      <alignment horizontal="left" vertical="center"/>
    </xf>
    <xf numFmtId="0" fontId="3" fillId="0" borderId="99" xfId="4" applyFont="1" applyBorder="1" applyAlignment="1">
      <alignment horizontal="center" vertical="center"/>
    </xf>
    <xf numFmtId="0" fontId="3" fillId="0" borderId="100" xfId="4" applyFont="1" applyBorder="1" applyAlignment="1">
      <alignment horizontal="center" vertical="center"/>
    </xf>
    <xf numFmtId="0" fontId="3" fillId="0" borderId="101" xfId="4" applyFont="1" applyBorder="1" applyAlignment="1">
      <alignment horizontal="left" vertical="center"/>
    </xf>
    <xf numFmtId="0" fontId="3" fillId="0" borderId="102" xfId="4" applyFont="1" applyBorder="1" applyAlignment="1">
      <alignment horizontal="center" vertical="center"/>
    </xf>
    <xf numFmtId="0" fontId="3" fillId="0" borderId="103" xfId="4" applyFont="1" applyBorder="1" applyAlignment="1">
      <alignment horizontal="center" vertical="center"/>
    </xf>
    <xf numFmtId="0" fontId="3" fillId="0" borderId="104" xfId="4" applyFont="1" applyBorder="1" applyAlignment="1">
      <alignment horizontal="left" vertical="center"/>
    </xf>
    <xf numFmtId="0" fontId="3" fillId="0" borderId="105" xfId="4" applyFont="1" applyBorder="1" applyAlignment="1">
      <alignment horizontal="center" vertical="center"/>
    </xf>
    <xf numFmtId="0" fontId="3" fillId="0" borderId="106" xfId="4" applyFont="1" applyBorder="1" applyAlignment="1">
      <alignment horizontal="center" vertical="center"/>
    </xf>
    <xf numFmtId="0" fontId="3" fillId="0" borderId="107" xfId="4" applyFont="1" applyBorder="1" applyAlignment="1">
      <alignment horizontal="left" vertical="center"/>
    </xf>
    <xf numFmtId="0" fontId="3" fillId="0" borderId="108" xfId="4" applyFont="1" applyBorder="1" applyAlignment="1">
      <alignment horizontal="center" vertical="center"/>
    </xf>
    <xf numFmtId="0" fontId="3" fillId="0" borderId="109" xfId="4" applyFont="1" applyBorder="1" applyAlignment="1">
      <alignment horizontal="center" vertical="center"/>
    </xf>
    <xf numFmtId="0" fontId="3" fillId="0" borderId="110" xfId="4" applyFont="1" applyBorder="1" applyAlignment="1">
      <alignment horizontal="left" vertical="center"/>
    </xf>
    <xf numFmtId="0" fontId="3" fillId="0" borderId="111" xfId="4" applyFont="1" applyBorder="1" applyAlignment="1">
      <alignment horizontal="center" vertical="center"/>
    </xf>
    <xf numFmtId="0" fontId="3" fillId="0" borderId="112" xfId="4" applyFont="1" applyBorder="1" applyAlignment="1">
      <alignment horizontal="center" vertical="center"/>
    </xf>
    <xf numFmtId="0" fontId="3" fillId="0" borderId="113" xfId="4" applyFont="1" applyBorder="1" applyAlignment="1">
      <alignment horizontal="left" vertical="center"/>
    </xf>
    <xf numFmtId="0" fontId="3" fillId="0" borderId="114" xfId="4" applyFont="1" applyBorder="1" applyAlignment="1">
      <alignment horizontal="center" vertical="center"/>
    </xf>
    <xf numFmtId="0" fontId="3" fillId="0" borderId="115" xfId="4" applyFont="1" applyBorder="1" applyAlignment="1">
      <alignment horizontal="center" vertical="center"/>
    </xf>
    <xf numFmtId="0" fontId="3" fillId="0" borderId="116" xfId="4" applyFont="1" applyBorder="1" applyAlignment="1">
      <alignment horizontal="left" vertical="center"/>
    </xf>
    <xf numFmtId="0" fontId="3" fillId="0" borderId="117" xfId="4" applyFont="1" applyBorder="1" applyAlignment="1">
      <alignment horizontal="center" vertical="center"/>
    </xf>
    <xf numFmtId="0" fontId="3" fillId="0" borderId="118" xfId="4" applyFont="1" applyBorder="1" applyAlignment="1">
      <alignment horizontal="center" vertical="center"/>
    </xf>
    <xf numFmtId="0" fontId="3" fillId="0" borderId="119" xfId="4" applyFont="1" applyBorder="1" applyAlignment="1">
      <alignment horizontal="left" vertical="center"/>
    </xf>
    <xf numFmtId="0" fontId="3" fillId="0" borderId="120" xfId="4" applyFont="1" applyBorder="1" applyAlignment="1">
      <alignment horizontal="center" vertical="center"/>
    </xf>
    <xf numFmtId="0" fontId="3" fillId="0" borderId="121" xfId="4" applyFont="1" applyBorder="1" applyAlignment="1">
      <alignment horizontal="center" vertical="center"/>
    </xf>
    <xf numFmtId="0" fontId="3" fillId="0" borderId="122" xfId="4" applyFont="1" applyBorder="1" applyAlignment="1">
      <alignment horizontal="left" vertical="center"/>
    </xf>
    <xf numFmtId="0" fontId="3" fillId="0" borderId="123" xfId="4" applyFont="1" applyBorder="1" applyAlignment="1">
      <alignment horizontal="center" vertical="center"/>
    </xf>
    <xf numFmtId="0" fontId="3" fillId="0" borderId="124" xfId="4" applyFont="1" applyBorder="1" applyAlignment="1">
      <alignment horizontal="center" vertical="center"/>
    </xf>
    <xf numFmtId="0" fontId="3" fillId="0" borderId="125" xfId="4" applyFont="1" applyBorder="1" applyAlignment="1">
      <alignment horizontal="left" vertical="center"/>
    </xf>
    <xf numFmtId="0" fontId="3" fillId="0" borderId="126" xfId="4" applyFont="1" applyBorder="1" applyAlignment="1">
      <alignment horizontal="center" vertical="center"/>
    </xf>
    <xf numFmtId="0" fontId="3" fillId="0" borderId="127" xfId="4" applyFont="1" applyBorder="1" applyAlignment="1">
      <alignment horizontal="center" vertical="center"/>
    </xf>
    <xf numFmtId="0" fontId="3" fillId="0" borderId="128" xfId="4" applyFont="1" applyBorder="1" applyAlignment="1">
      <alignment horizontal="left" vertical="center"/>
    </xf>
    <xf numFmtId="0" fontId="3" fillId="0" borderId="129" xfId="4" applyFont="1" applyBorder="1" applyAlignment="1">
      <alignment horizontal="center" vertical="center"/>
    </xf>
    <xf numFmtId="0" fontId="3" fillId="0" borderId="130" xfId="4" applyFont="1" applyBorder="1" applyAlignment="1">
      <alignment horizontal="center" vertical="center"/>
    </xf>
    <xf numFmtId="0" fontId="3" fillId="0" borderId="131" xfId="4" applyFont="1" applyBorder="1" applyAlignment="1">
      <alignment vertical="center"/>
    </xf>
    <xf numFmtId="0" fontId="3" fillId="0" borderId="132" xfId="4" applyFont="1" applyBorder="1" applyAlignment="1">
      <alignment horizontal="center" vertical="center"/>
    </xf>
    <xf numFmtId="0" fontId="3" fillId="0" borderId="133" xfId="4" applyFont="1" applyBorder="1" applyAlignment="1">
      <alignment horizontal="center" vertical="center"/>
    </xf>
    <xf numFmtId="0" fontId="3" fillId="0" borderId="134" xfId="4" applyFont="1" applyBorder="1" applyAlignment="1">
      <alignment horizontal="center" vertical="center"/>
    </xf>
    <xf numFmtId="0" fontId="3" fillId="0" borderId="135" xfId="4" applyFont="1" applyBorder="1" applyAlignment="1">
      <alignment horizontal="center" vertical="center"/>
    </xf>
    <xf numFmtId="0" fontId="3" fillId="0" borderId="136" xfId="4" applyFont="1" applyBorder="1" applyAlignment="1">
      <alignment horizontal="center" vertical="center"/>
    </xf>
    <xf numFmtId="0" fontId="3" fillId="0" borderId="137" xfId="4" applyFont="1" applyBorder="1" applyAlignment="1">
      <alignment vertical="center"/>
    </xf>
    <xf numFmtId="0" fontId="3" fillId="0" borderId="138" xfId="4" applyFont="1" applyBorder="1" applyAlignment="1">
      <alignment horizontal="center" vertical="center"/>
    </xf>
    <xf numFmtId="0" fontId="3" fillId="0" borderId="139" xfId="4" applyFont="1" applyBorder="1" applyAlignment="1">
      <alignment horizontal="center" vertical="center"/>
    </xf>
    <xf numFmtId="0" fontId="3" fillId="0" borderId="140" xfId="4" applyFont="1" applyBorder="1" applyAlignment="1">
      <alignment vertical="center"/>
    </xf>
    <xf numFmtId="0" fontId="3" fillId="0" borderId="141" xfId="4" applyFont="1" applyBorder="1" applyAlignment="1">
      <alignment horizontal="center" vertical="center"/>
    </xf>
    <xf numFmtId="0" fontId="3" fillId="0" borderId="142" xfId="4" applyFont="1" applyBorder="1" applyAlignment="1">
      <alignment horizontal="center" vertical="center"/>
    </xf>
    <xf numFmtId="0" fontId="3" fillId="0" borderId="143" xfId="4" applyFont="1" applyBorder="1" applyAlignment="1">
      <alignment vertical="center"/>
    </xf>
    <xf numFmtId="0" fontId="3" fillId="0" borderId="144" xfId="4" applyFont="1" applyBorder="1" applyAlignment="1">
      <alignment horizontal="center" vertical="center"/>
    </xf>
    <xf numFmtId="0" fontId="3" fillId="0" borderId="145" xfId="4" applyFont="1" applyBorder="1" applyAlignment="1">
      <alignment horizontal="center" vertical="center"/>
    </xf>
    <xf numFmtId="0" fontId="3" fillId="0" borderId="145" xfId="4" applyFont="1" applyBorder="1" applyAlignment="1">
      <alignment vertical="center"/>
    </xf>
    <xf numFmtId="0" fontId="3" fillId="0" borderId="145" xfId="4" applyFont="1" applyBorder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1" fontId="46" fillId="0" borderId="25" xfId="4" applyNumberFormat="1" applyFont="1" applyBorder="1" applyAlignment="1">
      <alignment horizontal="center" vertical="center"/>
    </xf>
    <xf numFmtId="0" fontId="2" fillId="0" borderId="25" xfId="4" applyBorder="1" applyAlignment="1">
      <alignment horizontal="center" vertical="center"/>
    </xf>
    <xf numFmtId="3" fontId="2" fillId="0" borderId="25" xfId="4" applyNumberFormat="1" applyBorder="1" applyAlignment="1">
      <alignment horizontal="center" vertical="center"/>
    </xf>
    <xf numFmtId="1" fontId="2" fillId="0" borderId="25" xfId="4" applyNumberFormat="1" applyBorder="1" applyAlignment="1">
      <alignment horizontal="center" vertical="center"/>
    </xf>
    <xf numFmtId="3" fontId="7" fillId="0" borderId="25" xfId="4" applyNumberFormat="1" applyFont="1" applyBorder="1" applyAlignment="1">
      <alignment horizontal="center" vertical="center"/>
    </xf>
    <xf numFmtId="165" fontId="37" fillId="7" borderId="25" xfId="4" applyNumberFormat="1" applyFont="1" applyFill="1" applyBorder="1" applyAlignment="1" applyProtection="1">
      <alignment horizontal="center" vertical="center"/>
      <protection locked="0"/>
    </xf>
    <xf numFmtId="1" fontId="37" fillId="7" borderId="25" xfId="4" applyNumberFormat="1" applyFont="1" applyFill="1" applyBorder="1" applyAlignment="1" applyProtection="1">
      <alignment horizontal="center" vertical="center"/>
      <protection locked="0"/>
    </xf>
    <xf numFmtId="10" fontId="37" fillId="7" borderId="25" xfId="4" applyNumberFormat="1" applyFont="1" applyFill="1" applyBorder="1" applyAlignment="1" applyProtection="1">
      <alignment horizontal="center" vertical="center"/>
      <protection locked="0"/>
    </xf>
    <xf numFmtId="172" fontId="37" fillId="7" borderId="25" xfId="4" applyNumberFormat="1" applyFont="1" applyFill="1" applyBorder="1" applyAlignment="1" applyProtection="1">
      <alignment horizontal="center" vertical="center"/>
      <protection locked="0"/>
    </xf>
    <xf numFmtId="0" fontId="2" fillId="0" borderId="25" xfId="4" applyBorder="1" applyAlignment="1">
      <alignment horizontal="center" vertical="center" wrapText="1"/>
    </xf>
    <xf numFmtId="0" fontId="2" fillId="0" borderId="25" xfId="4" applyBorder="1"/>
    <xf numFmtId="1" fontId="2" fillId="0" borderId="0" xfId="4" applyNumberFormat="1" applyAlignment="1">
      <alignment horizontal="center" vertical="center"/>
    </xf>
    <xf numFmtId="165" fontId="2" fillId="0" borderId="21" xfId="4" applyNumberFormat="1" applyBorder="1" applyAlignment="1">
      <alignment horizontal="center" vertical="center"/>
    </xf>
    <xf numFmtId="0" fontId="2" fillId="0" borderId="2" xfId="4" applyBorder="1" applyAlignment="1">
      <alignment horizontal="center" vertical="center" wrapText="1"/>
    </xf>
    <xf numFmtId="0" fontId="2" fillId="0" borderId="12" xfId="4" applyBorder="1" applyAlignment="1">
      <alignment horizontal="center" vertical="center"/>
    </xf>
    <xf numFmtId="0" fontId="2" fillId="0" borderId="13" xfId="4" applyBorder="1" applyAlignment="1">
      <alignment horizontal="center" vertical="center" wrapText="1"/>
    </xf>
    <xf numFmtId="165" fontId="37" fillId="7" borderId="147" xfId="4" applyNumberFormat="1" applyFont="1" applyFill="1" applyBorder="1" applyAlignment="1" applyProtection="1">
      <alignment horizontal="center" vertical="center"/>
      <protection locked="0"/>
    </xf>
    <xf numFmtId="173" fontId="7" fillId="0" borderId="25" xfId="0" applyNumberFormat="1" applyFont="1" applyBorder="1" applyAlignment="1">
      <alignment horizontal="center" vertical="center"/>
    </xf>
    <xf numFmtId="0" fontId="48" fillId="0" borderId="148" xfId="5" applyBorder="1"/>
    <xf numFmtId="0" fontId="48" fillId="0" borderId="149" xfId="5" applyBorder="1"/>
    <xf numFmtId="0" fontId="48" fillId="0" borderId="150" xfId="5" applyBorder="1"/>
    <xf numFmtId="0" fontId="40" fillId="0" borderId="147" xfId="0" applyFont="1" applyBorder="1" applyAlignment="1">
      <alignment horizontal="center" vertical="center"/>
    </xf>
    <xf numFmtId="170" fontId="40" fillId="0" borderId="147" xfId="0" applyNumberFormat="1" applyFont="1" applyBorder="1" applyAlignment="1">
      <alignment horizontal="center" vertical="center"/>
    </xf>
    <xf numFmtId="169" fontId="40" fillId="0" borderId="147" xfId="0" applyNumberFormat="1" applyFont="1" applyBorder="1" applyAlignment="1">
      <alignment horizontal="center" vertical="center"/>
    </xf>
    <xf numFmtId="0" fontId="36" fillId="0" borderId="147" xfId="0" applyFont="1" applyBorder="1" applyAlignment="1">
      <alignment horizontal="center" vertical="center"/>
    </xf>
    <xf numFmtId="0" fontId="41" fillId="0" borderId="147" xfId="0" applyFont="1" applyBorder="1" applyAlignment="1">
      <alignment horizontal="center" vertical="center"/>
    </xf>
    <xf numFmtId="168" fontId="40" fillId="0" borderId="147" xfId="0" applyNumberFormat="1" applyFont="1" applyBorder="1" applyAlignment="1">
      <alignment horizontal="center" vertical="center"/>
    </xf>
    <xf numFmtId="0" fontId="41" fillId="0" borderId="147" xfId="0" applyFont="1" applyBorder="1" applyAlignment="1">
      <alignment horizontal="center" vertical="center" wrapText="1"/>
    </xf>
    <xf numFmtId="171" fontId="41" fillId="0" borderId="147" xfId="0" applyNumberFormat="1" applyFont="1" applyBorder="1" applyAlignment="1">
      <alignment horizontal="center" vertical="center" wrapText="1"/>
    </xf>
    <xf numFmtId="168" fontId="41" fillId="0" borderId="147" xfId="0" applyNumberFormat="1" applyFont="1" applyBorder="1" applyAlignment="1">
      <alignment horizontal="center" vertical="center" wrapText="1"/>
    </xf>
    <xf numFmtId="165" fontId="7" fillId="9" borderId="25" xfId="0" applyNumberFormat="1" applyFont="1" applyFill="1" applyBorder="1" applyAlignment="1">
      <alignment horizontal="center" vertical="center"/>
    </xf>
    <xf numFmtId="165" fontId="7" fillId="9" borderId="25" xfId="0" applyNumberFormat="1" applyFont="1" applyFill="1" applyBorder="1" applyAlignment="1" applyProtection="1">
      <alignment horizontal="center" vertical="center"/>
      <protection locked="0"/>
    </xf>
    <xf numFmtId="0" fontId="29" fillId="0" borderId="3" xfId="0" applyFont="1" applyBorder="1" applyAlignment="1">
      <alignment horizontal="center" vertical="center" wrapText="1"/>
    </xf>
    <xf numFmtId="0" fontId="25" fillId="0" borderId="25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 wrapText="1"/>
    </xf>
    <xf numFmtId="0" fontId="25" fillId="0" borderId="6" xfId="0" applyFont="1" applyBorder="1" applyAlignment="1">
      <alignment horizontal="center" vertical="center" wrapText="1"/>
    </xf>
    <xf numFmtId="0" fontId="9" fillId="0" borderId="25" xfId="0" applyFont="1" applyBorder="1" applyAlignment="1">
      <alignment horizontal="center" vertical="center" wrapText="1"/>
    </xf>
    <xf numFmtId="0" fontId="40" fillId="0" borderId="147" xfId="0" applyFont="1" applyBorder="1" applyAlignment="1">
      <alignment horizontal="center" vertical="center" wrapText="1"/>
    </xf>
    <xf numFmtId="49" fontId="35" fillId="7" borderId="25" xfId="0" applyNumberFormat="1" applyFont="1" applyFill="1" applyBorder="1" applyAlignment="1" applyProtection="1">
      <alignment horizontal="center" vertical="center"/>
      <protection locked="0"/>
    </xf>
    <xf numFmtId="1" fontId="40" fillId="0" borderId="147" xfId="0" applyNumberFormat="1" applyFont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36" fillId="7" borderId="25" xfId="0" applyNumberFormat="1" applyFont="1" applyFill="1" applyBorder="1" applyAlignment="1">
      <alignment horizontal="center" vertical="center"/>
    </xf>
    <xf numFmtId="165" fontId="36" fillId="7" borderId="25" xfId="0" applyNumberFormat="1" applyFont="1" applyFill="1" applyBorder="1" applyAlignment="1">
      <alignment horizontal="center" vertical="center"/>
    </xf>
    <xf numFmtId="0" fontId="14" fillId="0" borderId="26" xfId="0" applyFont="1" applyBorder="1" applyAlignment="1">
      <alignment horizontal="center"/>
    </xf>
    <xf numFmtId="10" fontId="36" fillId="7" borderId="26" xfId="0" applyNumberFormat="1" applyFont="1" applyFill="1" applyBorder="1" applyAlignment="1">
      <alignment horizontal="center"/>
    </xf>
    <xf numFmtId="0" fontId="48" fillId="0" borderId="0" xfId="5" applyBorder="1"/>
    <xf numFmtId="0" fontId="49" fillId="0" borderId="0" xfId="0" applyFont="1"/>
    <xf numFmtId="171" fontId="50" fillId="8" borderId="25" xfId="0" applyNumberFormat="1" applyFont="1" applyFill="1" applyBorder="1" applyAlignment="1">
      <alignment horizontal="center" vertical="center"/>
    </xf>
    <xf numFmtId="0" fontId="50" fillId="0" borderId="25" xfId="0" applyFont="1" applyBorder="1"/>
    <xf numFmtId="168" fontId="50" fillId="8" borderId="25" xfId="0" applyNumberFormat="1" applyFont="1" applyFill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165" fontId="35" fillId="7" borderId="26" xfId="0" applyNumberFormat="1" applyFont="1" applyFill="1" applyBorder="1" applyAlignment="1" applyProtection="1">
      <alignment horizontal="center" vertical="center"/>
      <protection locked="0"/>
    </xf>
    <xf numFmtId="165" fontId="25" fillId="0" borderId="2" xfId="0" applyNumberFormat="1" applyFont="1" applyBorder="1" applyAlignment="1" applyProtection="1">
      <alignment horizontal="center" vertical="center"/>
      <protection locked="0"/>
    </xf>
    <xf numFmtId="0" fontId="31" fillId="0" borderId="6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/>
    </xf>
    <xf numFmtId="0" fontId="31" fillId="0" borderId="3" xfId="0" applyFont="1" applyBorder="1" applyAlignment="1">
      <alignment horizontal="center" vertical="center"/>
    </xf>
    <xf numFmtId="0" fontId="28" fillId="0" borderId="0" xfId="3" applyFont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35" fillId="7" borderId="0" xfId="0" applyFont="1" applyFill="1" applyAlignment="1" applyProtection="1">
      <alignment horizontal="left"/>
      <protection locked="0"/>
    </xf>
    <xf numFmtId="0" fontId="25" fillId="0" borderId="0" xfId="0" applyFont="1" applyAlignment="1" applyProtection="1">
      <alignment horizontal="left"/>
      <protection locked="0"/>
    </xf>
    <xf numFmtId="14" fontId="35" fillId="7" borderId="0" xfId="0" applyNumberFormat="1" applyFont="1" applyFill="1" applyAlignment="1" applyProtection="1">
      <alignment horizontal="left"/>
      <protection locked="0"/>
    </xf>
    <xf numFmtId="0" fontId="24" fillId="0" borderId="6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24" fillId="0" borderId="25" xfId="0" applyFont="1" applyBorder="1" applyAlignment="1">
      <alignment horizontal="center" vertical="center"/>
    </xf>
    <xf numFmtId="0" fontId="23" fillId="0" borderId="0" xfId="0" applyFont="1" applyAlignment="1">
      <alignment horizontal="left"/>
    </xf>
    <xf numFmtId="0" fontId="42" fillId="0" borderId="6" xfId="0" applyFont="1" applyBorder="1" applyAlignment="1">
      <alignment horizontal="center" vertical="center"/>
    </xf>
    <xf numFmtId="0" fontId="42" fillId="0" borderId="3" xfId="0" applyFont="1" applyBorder="1" applyAlignment="1">
      <alignment horizontal="center" vertical="center"/>
    </xf>
    <xf numFmtId="0" fontId="14" fillId="0" borderId="25" xfId="0" applyFont="1" applyBorder="1" applyAlignment="1">
      <alignment horizontal="center" vertical="center"/>
    </xf>
    <xf numFmtId="0" fontId="14" fillId="0" borderId="27" xfId="0" applyFont="1" applyBorder="1" applyAlignment="1">
      <alignment horizontal="center" vertical="center"/>
    </xf>
    <xf numFmtId="0" fontId="14" fillId="0" borderId="23" xfId="0" applyFont="1" applyBorder="1" applyAlignment="1">
      <alignment horizontal="center" vertical="center"/>
    </xf>
    <xf numFmtId="0" fontId="14" fillId="0" borderId="24" xfId="0" applyFont="1" applyBorder="1" applyAlignment="1">
      <alignment horizontal="center" vertical="center"/>
    </xf>
    <xf numFmtId="0" fontId="14" fillId="0" borderId="26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50" fillId="0" borderId="25" xfId="0" applyFont="1" applyBorder="1" applyAlignment="1">
      <alignment horizontal="center"/>
    </xf>
    <xf numFmtId="0" fontId="20" fillId="0" borderId="25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 wrapText="1"/>
    </xf>
    <xf numFmtId="49" fontId="2" fillId="0" borderId="25" xfId="0" applyNumberFormat="1" applyFont="1" applyBorder="1" applyAlignment="1">
      <alignment horizontal="center" vertical="center" wrapText="1"/>
    </xf>
    <xf numFmtId="1" fontId="7" fillId="0" borderId="25" xfId="0" applyNumberFormat="1" applyFont="1" applyBorder="1" applyAlignment="1">
      <alignment horizontal="center" vertical="center" wrapText="1"/>
    </xf>
    <xf numFmtId="49" fontId="2" fillId="0" borderId="6" xfId="0" applyNumberFormat="1" applyFont="1" applyBorder="1" applyAlignment="1">
      <alignment horizontal="center" vertical="center" wrapText="1"/>
    </xf>
    <xf numFmtId="49" fontId="2" fillId="0" borderId="5" xfId="0" applyNumberFormat="1" applyFont="1" applyBorder="1" applyAlignment="1">
      <alignment horizontal="center" vertical="center" wrapText="1"/>
    </xf>
    <xf numFmtId="49" fontId="2" fillId="0" borderId="3" xfId="0" applyNumberFormat="1" applyFont="1" applyBorder="1" applyAlignment="1">
      <alignment horizontal="center" vertical="center" wrapText="1"/>
    </xf>
    <xf numFmtId="0" fontId="47" fillId="0" borderId="25" xfId="4" applyFont="1" applyBorder="1" applyAlignment="1">
      <alignment horizontal="center"/>
    </xf>
    <xf numFmtId="0" fontId="2" fillId="0" borderId="25" xfId="4" applyBorder="1" applyAlignment="1">
      <alignment horizontal="center"/>
    </xf>
    <xf numFmtId="0" fontId="43" fillId="0" borderId="0" xfId="0" applyFont="1" applyAlignment="1">
      <alignment horizontal="center"/>
    </xf>
    <xf numFmtId="0" fontId="8" fillId="4" borderId="22" xfId="0" applyFont="1" applyFill="1" applyBorder="1" applyAlignment="1">
      <alignment horizontal="center"/>
    </xf>
    <xf numFmtId="0" fontId="8" fillId="4" borderId="0" xfId="0" applyFont="1" applyFill="1" applyAlignment="1">
      <alignment horizontal="center"/>
    </xf>
    <xf numFmtId="1" fontId="40" fillId="0" borderId="0" xfId="0" applyNumberFormat="1" applyFont="1" applyBorder="1" applyAlignment="1">
      <alignment horizontal="center" vertical="center" wrapText="1"/>
    </xf>
  </cellXfs>
  <cellStyles count="6">
    <cellStyle name="DiRootsParameterNotFound" xfId="1" xr:uid="{104907A8-2D4D-4252-804C-87DEA72DE229}"/>
    <cellStyle name="Heading 1" xfId="5" builtinId="16"/>
    <cellStyle name="Hyperlink" xfId="3" builtinId="8"/>
    <cellStyle name="Normal" xfId="0" builtinId="0"/>
    <cellStyle name="Normal 2" xfId="4" xr:uid="{B6F6B4F1-A17B-4ADA-AED1-F3AAF6032D7C}"/>
    <cellStyle name="Percent" xfId="2" builtinId="5"/>
  </cellStyles>
  <dxfs count="6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23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z val="11"/>
        <color theme="3"/>
        <name val="Century Gothic"/>
        <family val="2"/>
        <scheme val="minor"/>
      </font>
      <numFmt numFmtId="3" formatCode="#,##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z val="11"/>
        <color theme="3"/>
        <name val="Calibri (Body)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z val="11"/>
        <color theme="3"/>
        <name val="Calibri (Body)"/>
      </font>
      <numFmt numFmtId="14" formatCode="0.00%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indent="0" justifyLastLine="0" shrinkToFit="0" readingOrder="0"/>
    </dxf>
    <dxf>
      <numFmt numFmtId="165" formatCode="0.0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  <protection locked="0" hidden="0"/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z val="11"/>
        <color theme="3"/>
        <name val="Calibri (Body)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z val="11"/>
        <color theme="3"/>
        <name val="Calibri (Body)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z val="11"/>
        <color theme="3"/>
        <name val="Century Gothic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z val="11"/>
        <name val="Century Gothic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sz val="11"/>
        <name val="Century Gothic"/>
        <family val="2"/>
        <scheme val="minor"/>
      </font>
      <numFmt numFmtId="165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z val="11"/>
        <name val="Century Gothic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73" formatCode="0&quot; Tons&quot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indexed="64"/>
        </right>
        <top style="thin">
          <color indexed="64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30" formatCode="@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rgb="FF000000"/>
        </right>
        <top style="thin">
          <color rgb="FF000000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font>
        <strike val="0"/>
        <outline val="0"/>
        <shadow val="0"/>
        <vertAlign val="baseline"/>
        <sz val="12"/>
      </font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2"/>
      </font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4.xml"/><Relationship Id="rId39" Type="http://schemas.openxmlformats.org/officeDocument/2006/relationships/customXml" Target="../customXml/item17.xml"/><Relationship Id="rId21" Type="http://schemas.microsoft.com/office/2017/10/relationships/person" Target="persons/person.xml"/><Relationship Id="rId34" Type="http://schemas.openxmlformats.org/officeDocument/2006/relationships/customXml" Target="../customXml/item1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7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32" Type="http://schemas.openxmlformats.org/officeDocument/2006/relationships/customXml" Target="../customXml/item10.xml"/><Relationship Id="rId37" Type="http://schemas.openxmlformats.org/officeDocument/2006/relationships/customXml" Target="../customXml/item15.xml"/><Relationship Id="rId40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1.xml"/><Relationship Id="rId28" Type="http://schemas.openxmlformats.org/officeDocument/2006/relationships/customXml" Target="../customXml/item6.xml"/><Relationship Id="rId36" Type="http://schemas.openxmlformats.org/officeDocument/2006/relationships/customXml" Target="../customXml/item14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openxmlformats.org/officeDocument/2006/relationships/customXml" Target="../customXml/item5.xml"/><Relationship Id="rId30" Type="http://schemas.openxmlformats.org/officeDocument/2006/relationships/customXml" Target="../customXml/item8.xml"/><Relationship Id="rId35" Type="http://schemas.openxmlformats.org/officeDocument/2006/relationships/customXml" Target="../customXml/item1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3.xml"/><Relationship Id="rId33" Type="http://schemas.openxmlformats.org/officeDocument/2006/relationships/customXml" Target="../customXml/item11.xml"/><Relationship Id="rId38" Type="http://schemas.openxmlformats.org/officeDocument/2006/relationships/customXml" Target="../customXml/item1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426720</xdr:colOff>
          <xdr:row>2</xdr:row>
          <xdr:rowOff>114300</xdr:rowOff>
        </xdr:from>
        <xdr:to>
          <xdr:col>14</xdr:col>
          <xdr:colOff>457200</xdr:colOff>
          <xdr:row>5</xdr:row>
          <xdr:rowOff>0</xdr:rowOff>
        </xdr:to>
        <xdr:sp macro="" textlink="">
          <xdr:nvSpPr>
            <xdr:cNvPr id="15371" name="Button 11" descr="HUMIDIFICATION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0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AHU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784860</xdr:colOff>
          <xdr:row>0</xdr:row>
          <xdr:rowOff>15240</xdr:rowOff>
        </xdr:from>
        <xdr:to>
          <xdr:col>3</xdr:col>
          <xdr:colOff>563880</xdr:colOff>
          <xdr:row>2</xdr:row>
          <xdr:rowOff>22860</xdr:rowOff>
        </xdr:to>
        <xdr:sp macro="" textlink="">
          <xdr:nvSpPr>
            <xdr:cNvPr id="86029" name="Button 13" descr="HUMIDIFICATION" hidden="1">
              <a:extLst>
                <a:ext uri="{63B3BB69-23CF-44E3-9099-C40C66FF867C}">
                  <a14:compatExt spid="_x0000_s86029"/>
                </a:ext>
                <a:ext uri="{FF2B5EF4-FFF2-40B4-BE49-F238E27FC236}">
                  <a16:creationId xmlns:a16="http://schemas.microsoft.com/office/drawing/2014/main" id="{00000000-0008-0000-0100-00000D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982980</xdr:colOff>
          <xdr:row>0</xdr:row>
          <xdr:rowOff>15240</xdr:rowOff>
        </xdr:from>
        <xdr:to>
          <xdr:col>1</xdr:col>
          <xdr:colOff>868680</xdr:colOff>
          <xdr:row>1</xdr:row>
          <xdr:rowOff>160020</xdr:rowOff>
        </xdr:to>
        <xdr:sp macro="" textlink="">
          <xdr:nvSpPr>
            <xdr:cNvPr id="69719" name="Button 87" descr="HUMIDIFICATION" hidden="1">
              <a:extLst>
                <a:ext uri="{63B3BB69-23CF-44E3-9099-C40C66FF867C}">
                  <a14:compatExt spid="_x0000_s69719"/>
                </a:ext>
                <a:ext uri="{FF2B5EF4-FFF2-40B4-BE49-F238E27FC236}">
                  <a16:creationId xmlns:a16="http://schemas.microsoft.com/office/drawing/2014/main" id="{00000000-0008-0000-0300-00005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</xdr:colOff>
          <xdr:row>2</xdr:row>
          <xdr:rowOff>114300</xdr:rowOff>
        </xdr:from>
        <xdr:to>
          <xdr:col>9</xdr:col>
          <xdr:colOff>205740</xdr:colOff>
          <xdr:row>4</xdr:row>
          <xdr:rowOff>22860</xdr:rowOff>
        </xdr:to>
        <xdr:sp macro="" textlink="">
          <xdr:nvSpPr>
            <xdr:cNvPr id="129025" name="Button 1" descr="HUMIDIFICATION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5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REFRESH ROOMS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449580</xdr:colOff>
          <xdr:row>0</xdr:row>
          <xdr:rowOff>60960</xdr:rowOff>
        </xdr:from>
        <xdr:to>
          <xdr:col>1</xdr:col>
          <xdr:colOff>434340</xdr:colOff>
          <xdr:row>2</xdr:row>
          <xdr:rowOff>114300</xdr:rowOff>
        </xdr:to>
        <xdr:sp macro="" textlink="">
          <xdr:nvSpPr>
            <xdr:cNvPr id="66567" name="Button 7" descr="HUMIDIFICATION" hidden="1">
              <a:extLst>
                <a:ext uri="{63B3BB69-23CF-44E3-9099-C40C66FF867C}">
                  <a14:compatExt spid="_x0000_s66567"/>
                </a:ext>
                <a:ext uri="{FF2B5EF4-FFF2-40B4-BE49-F238E27FC236}">
                  <a16:creationId xmlns:a16="http://schemas.microsoft.com/office/drawing/2014/main" id="{00000000-0008-0000-0700-00000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ea typeface="Calibri"/>
                  <a:cs typeface="Calibri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7755F1-7D0D-48B8-9F51-548BD5F89DD0}" name="AHU_Options" displayName="AHU_Options" ref="B25:U26" insertRow="1" totalsRowShown="0" headerRowDxfId="625" dataDxfId="623" headerRowBorderDxfId="624" tableBorderDxfId="622" totalsRowBorderDxfId="621">
  <autoFilter ref="B25:U26" xr:uid="{917755F1-7D0D-48B8-9F51-548BD5F89D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xr3:uid="{17E8A70B-31DB-4E62-8AE7-B7490EBADF0B}" name="AHU NAME" dataDxfId="620"/>
    <tableColumn id="18" xr3:uid="{366DBBF2-20A8-4D60-93FE-3D5A81578DB0}" name="DISCHARGE CONFIG" dataDxfId="619"/>
    <tableColumn id="19" xr3:uid="{0CEE3843-A0BB-4053-8B60-160B8D23C3A1}" name="RETURN CONFIG" dataDxfId="618"/>
    <tableColumn id="2" xr3:uid="{A907651C-1565-4CA5-8395-FBF4A48F82DF}" name="SUPPLY FAN VFD" dataDxfId="617"/>
    <tableColumn id="3" xr3:uid="{A1BA734B-6B37-4C81-BB00-B96C74EABC9E}" name="RETURN FAN" dataDxfId="616"/>
    <tableColumn id="4" xr3:uid="{1A2A118E-5D50-4E1F-8178-C4EFA7C8AFB2}" name="RETURN FAN VFD" dataDxfId="615"/>
    <tableColumn id="5" xr3:uid="{9789DB90-BB58-4C9A-84AA-733010BD2ABF}" name="ECONOMIZER" dataDxfId="614"/>
    <tableColumn id="6" xr3:uid="{7F342EF1-E9D4-4167-9F2C-FB7ECDD16AC5}" name="HEAT RECOVERY" dataDxfId="613"/>
    <tableColumn id="7" xr3:uid="{26A7AB30-2773-4D3A-B047-D020B43C98AD}" name="PREHEAT COIL" dataDxfId="612"/>
    <tableColumn id="8" xr3:uid="{698E1BCF-A037-4D50-BC22-BF171E579A40}" name="REHEAT COIL" dataDxfId="611"/>
    <tableColumn id="9" xr3:uid="{E1206B26-EAF7-482D-90C7-BD9B25AC7DF4}" name="SUPPLY SMOKE" dataDxfId="610"/>
    <tableColumn id="10" xr3:uid="{3C1D9E90-D1DB-4131-ACF1-AE091BA0F570}" name="RETURN SMOKE" dataDxfId="609"/>
    <tableColumn id="11" xr3:uid="{42FFA5A3-94D2-4855-A74E-B15F86BB7CA6}" name="SINGLE POWER" dataDxfId="608"/>
    <tableColumn id="12" xr3:uid="{A9CF85BF-E075-40CD-A3D8-8F54B4742E17}" name="UV LIGHTS" dataDxfId="607"/>
    <tableColumn id="13" xr3:uid="{E6598DEC-673D-4041-8DFD-65E1B4E86C00}" name="PRE FILTER " dataDxfId="606"/>
    <tableColumn id="14" xr3:uid="{A42CA4AB-ECDB-4F8E-9F88-493EE19C6264}" name="INTERMIDIATE FILTER" dataDxfId="605"/>
    <tableColumn id="15" xr3:uid="{7E317255-F402-493B-BA5E-6339E59F2B79}" name="ATFP DAMPERS" dataDxfId="604"/>
    <tableColumn id="16" xr3:uid="{F81087CC-928B-4AE1-A5CB-B814D3F9D515}" name="HUMIDIFIER" dataDxfId="603"/>
    <tableColumn id="17" xr3:uid="{6D8362BD-1A4B-4899-83CC-017029BF5237}" name="HEPA FILTER" dataDxfId="602"/>
    <tableColumn id="20" xr3:uid="{D10B0D3B-FA35-49FF-9292-26366F343177}" name="TYPE" dataDxfId="601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13C620-49A9-45F8-90C7-F43B38D7A386}" name="TABLE4A4398" displayName="TABLE4A4398" ref="B4:AT6" totalsRowCount="1" headerRowDxfId="600" dataDxfId="598" totalsRowDxfId="596" headerRowBorderDxfId="599" tableBorderDxfId="597" totalsRowBorderDxfId="595">
  <autoFilter ref="B4:AT5" xr:uid="{524E3D6C-149E-4F0C-99B8-D02F54E8F335}"/>
  <sortState xmlns:xlrd2="http://schemas.microsoft.com/office/spreadsheetml/2017/richdata2" ref="B5:AS5">
    <sortCondition ref="B4:B5"/>
  </sortState>
  <tableColumns count="45">
    <tableColumn id="2" xr3:uid="{75F5D034-2167-48F2-8558-2A694E35E16F}" name="ZONE" dataDxfId="594" totalsRowDxfId="593"/>
    <tableColumn id="3" xr3:uid="{0F7C2FD8-8C97-4466-9519-526E2650935C}" name="ROOM" dataDxfId="592" totalsRowDxfId="591"/>
    <tableColumn id="4" xr3:uid="{95B8566D-E230-43A1-95EE-79F6022A54E2}" name="ROOM _x000a_NUMBER" dataDxfId="590" totalsRowDxfId="589"/>
    <tableColumn id="5" xr3:uid="{A005166F-99F0-4977-9137-A971210A2C73}" name="AREA _x000a_(FT²)" totalsRowFunction="sum" dataDxfId="588" totalsRowDxfId="587"/>
    <tableColumn id="6" xr3:uid="{5E622632-BAB2-4765-BF3A-120496AAAC63}" name="HG_x000a_(FT)" dataDxfId="586" totalsRowDxfId="585"/>
    <tableColumn id="8" xr3:uid="{22F7FA9C-5655-4974-885B-464147533B76}" name="100%_x000a_EA" dataDxfId="584" totalsRowDxfId="583">
      <calculatedColumnFormula>VLOOKUP($K5,'UMC Table 4-A'!$A$2:$E$132,5,FALSE)</calculatedColumnFormula>
    </tableColumn>
    <tableColumn id="1" xr3:uid="{E1CF5434-3260-4C6E-8FEF-41A00D79BBCC}" name="Desired Air Balance Difference" dataDxfId="582" totalsRowDxfId="581"/>
    <tableColumn id="10" xr3:uid="{D5D3292B-72B6-490D-9D6C-1DF61B341B89}" name="LOAD _x000a_(CFM)" dataDxfId="580" totalsRowDxfId="579"/>
    <tableColumn id="12" xr3:uid="{8DD58795-6E8A-4E1F-A48E-4C781960455E}" name="1 or 0.5 CFM/SF" dataDxfId="578" totalsRowDxfId="577">
      <calculatedColumnFormula>IF(OR((K5="PATIENT CORRIDOR"),(K5="TOILET")),(E5*0.5),E5)</calculatedColumnFormula>
    </tableColumn>
    <tableColumn id="13" xr3:uid="{73844B7E-2708-4B37-B53F-155B107C314B}" name="FUNCTION OR SPACE" dataDxfId="576" totalsRowDxfId="575"/>
    <tableColumn id="14" xr3:uid="{BF1CC012-1946-46F7-9FD5-D156235B7028}" name="PRESSURE RELATIONSHIP TO ADJACENT AREAS" dataDxfId="574" totalsRowDxfId="573">
      <calculatedColumnFormula>VLOOKUP($K5,'UMC Table 4-A'!$A$2:$E$132,2,FALSE)</calculatedColumnFormula>
    </tableColumn>
    <tableColumn id="15" xr3:uid="{85B7FA28-6671-44B6-9F78-F6F689F47C29}" name="MIN OUTDOOR ACH_x000a_(AC/HR)" dataDxfId="572" totalsRowDxfId="571">
      <calculatedColumnFormula>VLOOKUP($K5,'UMC Table 4-A'!$A$2:$E$132,3,FALSE)</calculatedColumnFormula>
    </tableColumn>
    <tableColumn id="16" xr3:uid="{2DECFFEF-7BC4-4310-8A88-C1EB2C913EAF}" name="MIN OUTDOOR ACH _x000a_(CFM)" totalsRowFunction="sum" dataDxfId="570" totalsRowDxfId="569">
      <calculatedColumnFormula>IF(TABLE4A4398[[#This Row],[FUNCTION OR SPACE]]="NOT PER TABLE 4A","NA",IF(M5&lt;&gt;"NR",ROUNDUP((E5*F5*M5)/60,-1),0))</calculatedColumnFormula>
    </tableColumn>
    <tableColumn id="7" xr3:uid="{9AA6B0D6-AADF-41C3-892A-67A137FE52CF}" name="MIN TOTAL ACH (AC/HR)" dataDxfId="568" totalsRowDxfId="567">
      <calculatedColumnFormula>VLOOKUP($K5,'UMC Table 4-A'!$A$2:$E$132,4,FALSE)</calculatedColumnFormula>
    </tableColumn>
    <tableColumn id="11" xr3:uid="{D0F8340D-A3A4-482A-A993-59E8E490E481}" name="MIN TOTAL ACH _x000a_(CFM)" totalsRowFunction="sum" dataDxfId="566" totalsRowDxfId="565">
      <calculatedColumnFormula>IF(TABLE4A4398[[#This Row],[FUNCTION OR SPACE]]="NOT PER TABLE 4A","NA",IF(O5&lt;&gt;"NR",ROUNDUP((E5*F5*O5)/60,-1),0))</calculatedColumnFormula>
    </tableColumn>
    <tableColumn id="17" xr3:uid="{C8F29BBC-DBFD-4307-8426-4B0D9C523232}" name="100% EA_x000a_ (YES/NR)" dataDxfId="564" totalsRowDxfId="563">
      <calculatedColumnFormula>VLOOKUP($K5,'UMC Table 4-A'!$A$2:$E$132,5,FALSE)</calculatedColumnFormula>
    </tableColumn>
    <tableColumn id="9" xr3:uid="{D61DB494-0A8F-4ACF-83B7-9F7C3E8A654E}" name="MIN EA _x000a_(CFM)" totalsRowFunction="sum" dataDxfId="562" totalsRowDxfId="561">
      <calculatedColumnFormula>IF(G5="Yes",P5,0)</calculatedColumnFormula>
    </tableColumn>
    <tableColumn id="36" xr3:uid="{E8D8DD45-77F8-4F99-9F4B-048638BDC1F6}" name="Exhaust Category" dataDxfId="560" totalsRowDxfId="559"/>
    <tableColumn id="35" xr3:uid="{18022B78-0D85-44BF-9F19-C044E83FFDAA}" name="ASHRAE_x000a_EXHAUST UNIT" dataDxfId="558" totalsRowDxfId="557"/>
    <tableColumn id="31" xr3:uid="{C440ED2D-AFFF-48D0-9FEA-89DC4EFFCF4B}" name="OCCUPANCY CATEGORY" dataDxfId="556" totalsRowDxfId="555"/>
    <tableColumn id="32" xr3:uid="{E2523F8E-F9D6-4E6C-9621-433B3575BF74}" name="RP_x000a_(CFM/PER PERSON)" dataDxfId="554" totalsRowDxfId="553">
      <calculatedColumnFormula>IF(TABLE4A4398[[#This Row],[FUNCTION OR SPACE]]="NOT PER TABLE 4A",VLOOKUP(TABLE4A4398[[#This Row],[OCCUPANCY CATEGORY]],Ashrae90.1Vent[#All],2,FALSE),"NA")</calculatedColumnFormula>
    </tableColumn>
    <tableColumn id="33" xr3:uid="{5FE63643-0612-4E35-A216-6D7C72AAD340}" name="RA_x000a_(CFM/FT²)" dataDxfId="552" totalsRowDxfId="551">
      <calculatedColumnFormula>IF(TABLE4A4398[[#This Row],[FUNCTION OR SPACE]]="NOT PER TABLE 4A", VLOOKUP(TABLE4A4398[[#This Row],[OCCUPANCY CATEGORY]],Ashrae90.1Vent[#All],3,FALSE),"NA")</calculatedColumnFormula>
    </tableColumn>
    <tableColumn id="38" xr3:uid="{B359A8F0-3D1F-45B3-AFF7-EC86BDEAABDE}" name="OCCUPANT DENSITY_x000a_(#/1000 FT²)" dataDxfId="550" totalsRowDxfId="549">
      <calculatedColumnFormula>VLOOKUP(TABLE4A4398[[#This Row],[OCCUPANCY CATEGORY]],Ashrae90.1Vent[#All],4,FALSE)</calculatedColumnFormula>
    </tableColumn>
    <tableColumn id="39" xr3:uid="{820EE2EB-ECBD-4ED5-A5F9-9120E8B40194}" name="Air Class" dataDxfId="548" totalsRowDxfId="547">
      <calculatedColumnFormula>IF(TABLE4A4398[[#This Row],[FUNCTION OR SPACE]]="NOT PER TABLE 4A",VLOOKUP(TABLE4A4398[[#This Row],[OCCUPANCY CATEGORY]],Ashrae90.1Vent[#All],5,FALSE),"NA")</calculatedColumnFormula>
    </tableColumn>
    <tableColumn id="40" xr3:uid="{ED56158D-3101-4B65-BF75-95B2D013286F}" name="Actual Number of  Occupants (Ps)" totalsRowFunction="sum" dataDxfId="546" totalsRowDxfId="545">
      <calculatedColumnFormula>IF(TABLE4A4398[[#This Row],[FUNCTION OR SPACE]]="NOT PER TABLE 4A",TABLE4A4398[[#This Row],[Occupants (Pz)]],"NA")</calculatedColumnFormula>
    </tableColumn>
    <tableColumn id="41" xr3:uid="{3D300AA7-3BC0-4F9E-A529-1B623C116627}" name="Occupants (Pz)" totalsRowFunction="sum" dataDxfId="544" totalsRowDxfId="543">
      <calculatedColumnFormula>IF(TABLE4A4398[[#This Row],[FUNCTION OR SPACE]]="NOT PER TABLE 4A",CEILING((X5/1000)*E5,1),"NA")</calculatedColumnFormula>
    </tableColumn>
    <tableColumn id="34" xr3:uid="{9A10D821-019D-4768-B5CD-4F60A341F097}" name="DIVERSITY (D)" dataDxfId="542" totalsRowDxfId="541">
      <calculatedColumnFormula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calculatedColumnFormula>
    </tableColumn>
    <tableColumn id="29" xr3:uid="{DD094572-E09A-4995-B0A7-1C62C4DF4C1C}" name="Uncorrected OA (Vou)" dataDxfId="540" totalsRowDxfId="539">
      <calculatedColumnFormula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calculatedColumnFormula>
    </tableColumn>
    <tableColumn id="30" xr3:uid="{BFD8B8AE-CE10-40EE-A240-627B2155D30A}" name="System Efficiency (Ev)" dataDxfId="538" totalsRowDxfId="537">
      <calculatedColumnFormula>IF(TABLE4A4398[[#This Row],[FUNCTION OR SPACE]]="NOT PER TABLE 4A",IF(TABLE4A4398[[#This Row],[DIVERSITY (D)]]&lt;0.6,(0.88*TABLE4A4398[[#This Row],[DIVERSITY (D)]]+0.22),0.75),"NA")</calculatedColumnFormula>
    </tableColumn>
    <tableColumn id="37" xr3:uid="{FCAC64D7-9E55-4B95-B80D-EE2A4B3140C8}" name="OUTSIDE AIRFLOW (CFM) (Vot)" dataDxfId="536" totalsRowDxfId="535">
      <calculatedColumnFormula>IF(TABLE4A4398[[#This Row],[FUNCTION OR SPACE]]="NOT PER TABLE 4A",TABLE4A4398[[#This Row],[Uncorrected OA (Vou)]]/TABLE4A4398[[#This Row],[System Efficiency (Ev)]],"NA")</calculatedColumnFormula>
    </tableColumn>
    <tableColumn id="45" xr3:uid="{8DEFDE14-82B8-4FEB-BFE6-A8E3DCF8157E}" name="EXHAUST RECOVERY" dataDxfId="534" totalsRowDxfId="533"/>
    <tableColumn id="43" xr3:uid="{553E57EC-275A-4C23-ABAA-EE610700AD32}" name="OS" dataDxfId="532" totalsRowDxfId="531">
      <calculatedColumnFormula>VLOOKUP(TABLE4A4398[[#This Row],[OCCUPANCY CATEGORY]],Ashrae90.1Vent[#All],6,FALSE)</calculatedColumnFormula>
    </tableColumn>
    <tableColumn id="49" xr3:uid="{BCEF2EF6-144B-41EA-869A-743A6587C1A2}" name="EA RATE_x000a_(CFM/UNIT)" dataDxfId="530" totalsRowDxfId="529">
      <calculatedColumnFormula>IF(TABLE4A4398[[#This Row],[Exhaust Category]]="NOT APPLICABLE","NA",VLOOKUP(TABLE4A4398[[#This Row],[Exhaust Category]],ASHRAE_EA_Table[#All],2,FALSE))</calculatedColumnFormula>
    </tableColumn>
    <tableColumn id="48" xr3:uid="{C140FDC8-801D-4A8A-9F76-A2BBB2A97DAE}" name="EA RATE_x000a_(CFM/FT²)" dataDxfId="528" totalsRowDxfId="527">
      <calculatedColumnFormula>IF(TABLE4A4398[[#This Row],[Exhaust Category]]="NOT APPLICABLE","NA",VLOOKUP(TABLE4A4398[[#This Row],[Exhaust Category]],ASHRAE_EA_Table[#All],3,FALSE))</calculatedColumnFormula>
    </tableColumn>
    <tableColumn id="42" xr3:uid="{CCE7B6C2-E1D3-4D15-BFD9-FF28C9DB5D52}" name="MIN ASHRAE EA_x000a_(CFM)" dataDxfId="526" totalsRowDxfId="525">
      <calculatedColumnFormula>IFERROR(IF(TABLE4A4398[[#This Row],[EA RATE
(CFM/UNIT)]] = 0,TABLE4A4398[[#This Row],[EA RATE
(CFM/FT²)]]*TABLE4A4398[[#This Row],[AREA 
(FT²)]],TABLE4A4398[[#This Row],[EA RATE
(CFM/UNIT)]]*TABLE4A4398[[#This Row],[ASHRAE
EXHAUST UNIT]]),0)</calculatedColumnFormula>
    </tableColumn>
    <tableColumn id="50" xr3:uid="{38F8A5D5-B157-49E8-89E8-9652F3B87258}" name="DESIGN OA (CFM)" totalsRowFunction="sum" dataDxfId="524" totalsRowDxfId="523">
      <calculatedColumnFormula>MROUND(IF(TABLE4A4398[[#This Row],[FUNCTION OR SPACE]]="NOT PER TABLE 4A",TABLE4A4398[[#This Row],[OUTSIDE AIRFLOW (CFM) (Vot)]],TABLE4A4398[[#This Row],[MIN OUTDOOR ACH 
(CFM)]]),5)</calculatedColumnFormula>
    </tableColumn>
    <tableColumn id="18" xr3:uid="{B4E4A5F2-E673-41CD-807E-EB0B06784D52}" name="CALCULATED SA _x000a_(CFM)" totalsRowFunction="sum" dataDxfId="522" totalsRowDxfId="521">
      <calculatedColumnFormula array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calculatedColumnFormula>
    </tableColumn>
    <tableColumn id="19" xr3:uid="{592D566A-EAF9-4868-9203-EAE5805C105A}" name="DESIGN SA (CFM)" totalsRowFunction="sum" dataDxfId="520" totalsRowDxfId="519">
      <calculatedColumnFormula>TABLE4A4398[[#This Row],[CALCULATED SA 
(CFM)]]</calculatedColumnFormula>
    </tableColumn>
    <tableColumn id="20" xr3:uid="{479DA455-B30F-4304-A6BA-437ABAF457CA}" name="DESIGN RA (CFM)" totalsRowFunction="sum" dataDxfId="518" totalsRowDxfId="517">
      <calculatedColumnFormula array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calculatedColumnFormula>
    </tableColumn>
    <tableColumn id="21" xr3:uid="{2447FA84-AE3A-4904-ACF5-CA90B8C20D29}" name="DESIGN EA (CFM)" totalsRowFunction="sum" dataDxfId="516" totalsRowDxfId="515">
      <calculatedColumnFormula array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calculatedColumnFormula>
    </tableColumn>
    <tableColumn id="22" xr3:uid="{03826812-914B-436A-8088-2B88967F7E48}" name="Transfer Air CFM" totalsRowFunction="sum" dataDxfId="514" totalsRowDxfId="513">
      <calculatedColumnFormula>AM5-AN5-AO5</calculatedColumnFormula>
    </tableColumn>
    <tableColumn id="24" xr3:uid="{AA29B302-8E46-43C4-9201-C349236070AB}" name="CFM/SF" dataDxfId="512" totalsRowDxfId="511">
      <calculatedColumnFormula>IFERROR(AL5/E5,"-")</calculatedColumnFormula>
    </tableColumn>
    <tableColumn id="25" xr3:uid="{47433AF6-25F4-4C77-BBBF-3398F6E4F534}" name="OSA PERCENT" dataDxfId="510" totalsRowDxfId="509">
      <calculatedColumnFormula>IF(TABLE4A4398[[#This Row],[DESIGN SA (CFM)]]=0,0,(TABLE4A4398[[#This Row],[DESIGN OA (CFM)]]/TABLE4A4398[[#This Row],[DESIGN SA (CFM)]])*100)</calculatedColumnFormula>
    </tableColumn>
    <tableColumn id="26" xr3:uid="{2CC1941E-3031-41CB-88C4-22FE4BDE2CF3}" name="ACH/hr" dataDxfId="508" totalsRowDxfId="507">
      <calculatedColumnFormula>AM5/E5/F5*60</calculatedColumnFormula>
    </tableColumn>
    <tableColumn id="23" xr3:uid="{96423B94-F9BC-4CDA-872C-3FEFF97968EC}" name="Balance?" dataDxfId="506" totalsRowDxfId="505">
      <calculatedColumnFormula>IF(AL5-AN5-AO5+AP5=0,"Yes","No")</calculatedColumn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34BCADD-6596-42A1-93A2-852199BEEC51}" name="AHU_CAV_SCHEDULE441114" displayName="AHU_CAV_SCHEDULE441114" ref="A1:Q4" totalsRowCount="1" headerRowDxfId="504" dataDxfId="502" totalsRowDxfId="500" headerRowBorderDxfId="503" tableBorderDxfId="501" totalsRowBorderDxfId="499">
  <autoFilter ref="A1:Q3" xr:uid="{2A2B6BA6-0EAB-2349-A085-FD569408EC9D}"/>
  <tableColumns count="17">
    <tableColumn id="1" xr3:uid="{C5D95E6A-0C73-4A74-A2E8-647D33AAD0F9}" name="ZONE" totalsRowLabel="Total" dataDxfId="498" totalsRowDxfId="497"/>
    <tableColumn id="2" xr3:uid="{314B94B0-1389-404F-83E4-4AA1049F1022}" name="BASIS OF DESIGN _x000a_MANUFACTURER" dataDxfId="496" totalsRowDxfId="495"/>
    <tableColumn id="3" xr3:uid="{71BF9071-0B95-45AC-9F78-159F2BBA7A10}" name="DESCRIPTION" dataDxfId="494" totalsRowDxfId="493"/>
    <tableColumn id="4" xr3:uid="{20ABA679-9CAE-46A2-AC75-24E3416F8AE9}" name="CFM" dataDxfId="492" totalsRowDxfId="491">
      <calculatedColumnFormula>SUMIF(TABLE4A4398[ZONE],AHU_CAV_SCHEDULE441114[[#This Row],[ZONE]],TABLE4A4398[DESIGN SA (CFM)])</calculatedColumnFormula>
    </tableColumn>
    <tableColumn id="5" xr3:uid="{EB411437-B53E-4410-9476-63BDC1BDB7B1}" name="CAV INLET SIZE" dataDxfId="490" totalsRowDxfId="489">
      <calculatedColumnFormula>IFERROR((VLOOKUP(D2,'DO NOT TOUCH'!$C$9:$D$14,2,TRUE)),"TBD")</calculatedColumnFormula>
    </tableColumn>
    <tableColumn id="6" xr3:uid="{846F714B-F97C-486F-8DDA-40126A6313DE}" name="MAX TOTAL CAV PD _x000a_(IN W.G.)" dataDxfId="488" totalsRowDxfId="487">
      <calculatedColumnFormula>F1</calculatedColumnFormula>
    </tableColumn>
    <tableColumn id="7" xr3:uid="{66F138FC-ABB7-4803-8215-F15967B905F6}" name="EWT" dataDxfId="486" totalsRowDxfId="485">
      <calculatedColumnFormula>INPUT_OUTPUTS!$C$16</calculatedColumnFormula>
    </tableColumn>
    <tableColumn id="8" xr3:uid="{8FF10AD2-60ED-49B1-A888-0AD5180D7970}" name="DESIGN _x000a_LWT" dataDxfId="484" totalsRowDxfId="483">
      <calculatedColumnFormula>INPUT_OUTPUTS!$C$17</calculatedColumnFormula>
    </tableColumn>
    <tableColumn id="9" xr3:uid="{C39A4342-FBAA-4442-B7BD-4C47556C5075}" name="EAT" dataDxfId="482" totalsRowDxfId="481">
      <calculatedColumnFormula>I1</calculatedColumnFormula>
    </tableColumn>
    <tableColumn id="10" xr3:uid="{E4F5985D-BEFB-48AF-AE4D-E15C30B92458}" name="DESIGN _x000a_LAT" dataDxfId="480" totalsRowDxfId="479">
      <calculatedColumnFormula>J1</calculatedColumnFormula>
    </tableColumn>
    <tableColumn id="11" xr3:uid="{4B47405A-0987-490D-A084-8B30200952E4}" name="MIN MBH" totalsRowFunction="sum" dataDxfId="478" totalsRowDxfId="477">
      <calculatedColumnFormula>MROUND((1.08*(J2-I2)*D2)/1000,0.1)</calculatedColumnFormula>
    </tableColumn>
    <tableColumn id="12" xr3:uid="{2D26F161-8CD4-4ACB-B4CF-1593EEFA24E4}" name="AGPM" dataDxfId="476" totalsRowDxfId="475">
      <calculatedColumnFormula>(K2*1000)/(500*(G2-H2))</calculatedColumnFormula>
    </tableColumn>
    <tableColumn id="13" xr3:uid="{718A9E14-71FB-44FB-A6D9-573969303244}" name="GPM" totalsRowFunction="sum" dataDxfId="474" totalsRowDxfId="473">
      <calculatedColumnFormula>IF(L2&lt;0.5,0.5,L2)</calculatedColumnFormula>
    </tableColumn>
    <tableColumn id="14" xr3:uid="{48AA7CC7-F7E3-42B2-8E54-C0090CF73D73}" name="MAX WATER _x000a_PD (FT)" dataDxfId="472" totalsRowDxfId="471">
      <calculatedColumnFormula>N1</calculatedColumnFormula>
    </tableColumn>
    <tableColumn id="15" xr3:uid="{2F879E77-08E0-4E86-ABAD-F2EC09E4C2E0}" name="OPER _x000a_WEIGHT_x000a_(LBS)" dataDxfId="470" totalsRowDxfId="469">
      <calculatedColumnFormula>IFERROR((_xlfn.XLOOKUP(E2,'DO NOT TOUCH'!$D$9:$D$14,'DO NOT TOUCH'!$E$9:$E$14,)),"TBD")</calculatedColumnFormula>
    </tableColumn>
    <tableColumn id="16" xr3:uid="{93897DAB-EFD2-4EDF-9881-CFE7F822A346}" name="MTG _x000a_DETAIL" dataDxfId="468" totalsRowDxfId="467">
      <calculatedColumnFormula>INPUT_OUTPUTS!$C$19</calculatedColumnFormula>
    </tableColumn>
    <tableColumn id="17" xr3:uid="{66A7058D-C4C4-4FEC-BC01-C8C881CF109A}" name="REMARKS" dataDxfId="466" totalsRowDxfId="465">
      <calculatedColumnFormula>Q1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465A596-4458-43E1-9F47-66CDD4E01D7F}" name="Ahu_Ashrae_Generic" displayName="Ahu_Ashrae_Generic" ref="A4:AN18" totalsRowCount="1" headerRowDxfId="464" dataDxfId="463" totalsRowDxfId="461" tableBorderDxfId="462">
  <autoFilter ref="A4:AN17" xr:uid="{59B85608-0CD2-47F2-870C-191ADDE0C2B8}"/>
  <tableColumns count="40">
    <tableColumn id="1" xr3:uid="{13F107CA-E395-403B-99B4-65D454865F61}" name="Zone" totalsRowLabel="TOTAL" dataDxfId="460" totalsRowDxfId="71"/>
    <tableColumn id="3" xr3:uid="{F80D1C16-C418-4B4D-A569-08FF0C9FD9A1}" name="Room Number" dataDxfId="459" totalsRowDxfId="70"/>
    <tableColumn id="4" xr3:uid="{216886B4-41A5-46E5-957A-D9BC5211544A}" name="Room" totalsRowFunction="count" dataDxfId="458" totalsRowDxfId="69"/>
    <tableColumn id="6" xr3:uid="{FAEF0092-9267-4494-BA56-051894961217}" name="AREA (FT²)" totalsRowFunction="sum" dataDxfId="457" totalsRowDxfId="68"/>
    <tableColumn id="2" xr3:uid="{76ECF316-2031-47B2-9965-A43A4AD098DC}" name="Desired Room Balance" dataDxfId="456" totalsRowDxfId="67"/>
    <tableColumn id="18" xr3:uid="{85D8CA67-8705-42BF-AC57-76DEABA6CFF8}" name="Exhaust Units" dataDxfId="455" totalsRowDxfId="66"/>
    <tableColumn id="7" xr3:uid="{22DEA9EB-6829-4F94-A62D-70E9DB4118C6}" name="OFFICE STANDARD _x000a_(CFM)" dataDxfId="454" totalsRowDxfId="65">
      <calculatedColumnFormula>IF((VLOOKUP(Ahu_Ashrae_Generic[[#This Row],[Occupancy Category]],Ashrae90.1Vent[#All],7,FALSE)) = "YES",MROUND(D5/2,5),MROUND(D5,5))</calculatedColumnFormula>
    </tableColumn>
    <tableColumn id="8" xr3:uid="{7E2DDD6E-E4CD-4911-B0AB-66850CA0C7DA}" name="LOAD (CFM)" totalsRowFunction="sum" dataDxfId="453" totalsRowDxfId="64"/>
    <tableColumn id="17" xr3:uid="{AB90DFB5-D9F7-4991-B79C-73953940B8A9}" name="Exhaust Category" dataDxfId="452" totalsRowDxfId="63"/>
    <tableColumn id="5" xr3:uid="{D0FC3464-26A6-4825-B194-880E47740C1D}" name="Occupancy Category" dataDxfId="451" totalsRowDxfId="62"/>
    <tableColumn id="10" xr3:uid="{776D97F5-1DFD-4EF3-AB3B-86F72E19D6E4}" name="RP_x000a_(CFM/PER PERSON)" dataDxfId="450" totalsRowDxfId="61">
      <calculatedColumnFormula>VLOOKUP(Ahu_Ashrae_Generic[[#This Row],[Occupancy Category]],Ashrae90.1Vent[#All],2,FALSE)</calculatedColumnFormula>
    </tableColumn>
    <tableColumn id="11" xr3:uid="{76672635-C795-4F06-BEC7-0313455A053C}" name="RA_x000a_(CFM/FT²)" dataDxfId="449" totalsRowDxfId="60">
      <calculatedColumnFormula>VLOOKUP(Ahu_Ashrae_Generic[[#This Row],[Occupancy Category]],Ashrae90.1Vent[#All],3,FALSE)</calculatedColumnFormula>
    </tableColumn>
    <tableColumn id="9" xr3:uid="{8CD6DD67-6216-4CF3-8380-930B3A37E6A0}" name="OCCUPANT DENSITY_x000a_(#/1000 FT²)" dataDxfId="448" totalsRowDxfId="59">
      <calculatedColumnFormula>VLOOKUP(Ahu_Ashrae_Generic[[#This Row],[Occupancy Category]],Ashrae90.1Vent[#All],4,FALSE)</calculatedColumnFormula>
    </tableColumn>
    <tableColumn id="36" xr3:uid="{2B84F988-11BD-4257-8AD4-0E38D49C1594}" name="Occupant Component" dataDxfId="447" totalsRowDxfId="58">
      <calculatedColumnFormula>Ahu_Ashrae_Generic[[#This Row],[OCCUPANT DENSITY
('#/1000 FT²)]]*Ahu_Ashrae_Generic[[#This Row],[RP
(CFM/PER PERSON)]]</calculatedColumnFormula>
    </tableColumn>
    <tableColumn id="39" xr3:uid="{2BADBECE-EE13-49DD-AFCA-C121DBABD78C}" name="Area Component" dataDxfId="446" totalsRowDxfId="57">
      <calculatedColumnFormula>Ahu_Ashrae_Generic[[#This Row],[RA
(CFM/FT²)]]*Ahu_Ashrae_Generic[[#This Row],[AREA (FT²)]]</calculatedColumnFormula>
    </tableColumn>
    <tableColumn id="12" xr3:uid="{A2512039-1BFD-4637-9149-E45B36F1BCBD}" name="Air Class" dataDxfId="445" totalsRowDxfId="56">
      <calculatedColumnFormula>VLOOKUP(Ahu_Ashrae_Generic[[#This Row],[Occupancy Category]],Ashrae90.1Vent[#All],5,FALSE)</calculatedColumnFormula>
    </tableColumn>
    <tableColumn id="13" xr3:uid="{47B0F9A6-920C-43DF-A14A-8F0C04A59C11}" name="Occupants (Pz)" totalsRowFunction="sum" dataDxfId="444" totalsRowDxfId="55">
      <calculatedColumnFormula>CEILING((M5/1000)*D5,1)</calculatedColumnFormula>
    </tableColumn>
    <tableColumn id="20" xr3:uid="{D88BB767-D9CE-4502-9AE5-38238841E676}" name="DIVERSITY (D)" dataDxfId="443" totalsRowDxfId="54">
      <calculatedColumnFormula>IF(($R$1/Ahu_Ashrae_Generic[[#Totals],[Occupants (Pz)]])&gt;1,1,$R$1/Ahu_Ashrae_Generic[[#Totals],[Occupants (Pz)]])</calculatedColumnFormula>
    </tableColumn>
    <tableColumn id="14" xr3:uid="{515960F0-0D57-4682-8B27-4890C0589FBE}" name="Uncorrected OA (Vou)" totalsRowFunction="sum" dataDxfId="442" totalsRowDxfId="53">
      <calculatedColumnFormula>(Ahu_Ashrae_Generic[[#This Row],[DIVERSITY (D)]]*Ahu_Ashrae_Generic[[#This Row],[RP
(CFM/PER PERSON)]]*Ahu_Ashrae_Generic[[#This Row],[Occupants (Pz)]])+(Ahu_Ashrae_Generic[[#This Row],[RA
(CFM/FT²)]]*Ahu_Ashrae_Generic[[#This Row],[AREA (FT²)]])</calculatedColumnFormula>
    </tableColumn>
    <tableColumn id="16" xr3:uid="{44D80A74-09DA-42BB-971A-4586DD89EC4E}" name="System Efficiency (Ev)" dataDxfId="441" totalsRowDxfId="52"/>
    <tableColumn id="21" xr3:uid="{5A56127A-64F8-417C-A88F-2F9F5C0817E1}" name="OUTSIDE AIRFLOW (CFM) (Vot)" totalsRowFunction="sum" dataDxfId="440" totalsRowDxfId="51">
      <calculatedColumnFormula>Ahu_Ashrae_Generic[[#This Row],[Uncorrected OA (Vou)]]/Ahu_Ashrae_Generic[[#This Row],[System Efficiency (Ev)]]</calculatedColumnFormula>
    </tableColumn>
    <tableColumn id="32" xr3:uid="{F510565D-7EF1-4FFE-AD9C-E9D58436E4AB}" name="Breathing Zone OA (Vbz)" dataDxfId="439" totalsRowDxfId="50">
      <calculatedColumnFormula>(Ahu_Ashrae_Generic[[#This Row],[RP
(CFM/PER PERSON)]]*Ahu_Ashrae_Generic[[#This Row],[Occupants (Pz)]])+(Ahu_Ashrae_Generic[[#This Row],[RA
(CFM/FT²)]]*Ahu_Ashrae_Generic[[#This Row],[AREA (FT²)]])</calculatedColumnFormula>
    </tableColumn>
    <tableColumn id="25" xr3:uid="{496E79E4-1236-4F15-BD06-CB27BF479A18}" name="Zone Efficiency (Ez)" dataDxfId="438" totalsRowDxfId="49"/>
    <tableColumn id="24" xr3:uid="{44A19890-0B61-48FE-AEE6-B4AF44D95889}" name="Zone OA (Voz)" dataDxfId="437" totalsRowDxfId="48">
      <calculatedColumnFormula>Ahu_Ashrae_Generic[[#This Row],[Breathing Zone OA (Vbz)]]/Ahu_Ashrae_Generic[[#This Row],[Zone Efficiency (Ez)]]</calculatedColumnFormula>
    </tableColumn>
    <tableColumn id="34" xr3:uid="{049255D7-F302-4459-B2F6-81F01B39A78F}" name="EXHAUST RECOVERY" dataDxfId="436" totalsRowDxfId="47"/>
    <tableColumn id="33" xr3:uid="{84D3A249-3F9E-4505-B5AC-4AF46EFA1A96}" name="CO2 SENSOR" dataDxfId="435" totalsRowDxfId="46">
      <calculatedColumnFormula array="1">co2requirement(Ahu_Ashrae_Generic[[#This Row],[AREA (FT²)]],Ahu_Ashrae_Generic[[#This Row],[EXHAUST RECOVERY]],INPUT_OUTPUTS!$C$6,Ahu_Ashrae_Generic[[#This Row],[Occupant Component]])</calculatedColumnFormula>
    </tableColumn>
    <tableColumn id="38" xr3:uid="{4FD9694B-3228-493F-A0BC-7381C760E767}" name="OS" dataDxfId="434" totalsRowDxfId="45">
      <calculatedColumnFormula>VLOOKUP(Ahu_Ashrae_Generic[[#This Row],[Occupancy Category]],Ashrae90.1Vent[#All],6,FALSE)</calculatedColumnFormula>
    </tableColumn>
    <tableColumn id="37" xr3:uid="{1FFAD58F-B1CC-4422-9390-3E4F6D87B6FE}" name="MIN OA ALLOWABLE (WITH DCV)" totalsRowFunction="sum" dataDxfId="433" totalsRowDxfId="44">
      <calculatedColumnFormula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calculatedColumnFormula>
    </tableColumn>
    <tableColumn id="41" xr3:uid="{EB82F0E2-5989-48A2-937C-9A5DE361598F}" name="Misc Exhaust From Room" dataDxfId="432" totalsRowDxfId="43"/>
    <tableColumn id="31" xr3:uid="{04EA3EE2-EB22-497B-87B1-DCFA9B5E63BE}" name="Exhausted?" dataDxfId="431" totalsRowDxfId="42">
      <calculatedColumnFormula>IF(Ahu_Ashrae_Generic[[#This Row],[Exhaust Category]] = "NOT APPLICABLE","NR","YES")</calculatedColumnFormula>
    </tableColumn>
    <tableColumn id="27" xr3:uid="{3CC2EE5F-91BA-47CD-9CAA-E5A58A707F37}" name="EA RATE_x000a_(CFM/UNIT)" dataDxfId="430" totalsRowDxfId="41">
      <calculatedColumnFormula>IF(Ahu_Ashrae_Generic[[#This Row],[Exhaust Category]]="NOT APPLICABLE","NA",VLOOKUP(Ahu_Ashrae_Generic[[#This Row],[Exhaust Category]],ASHRAE_EA_Table[#All],2,FALSE))</calculatedColumnFormula>
    </tableColumn>
    <tableColumn id="19" xr3:uid="{4ED74037-DFDA-4E5B-81B4-B902AD475608}" name="EA RATE_x000a_(CFM/FT²)" dataDxfId="429" totalsRowDxfId="40">
      <calculatedColumnFormula>IF(Ahu_Ashrae_Generic[[#This Row],[Exhaust Category]]="NOT APPLICABLE","NA",VLOOKUP(Ahu_Ashrae_Generic[[#This Row],[Exhaust Category]],ASHRAE_EA_Table[#All],3,FALSE))</calculatedColumnFormula>
    </tableColumn>
    <tableColumn id="28" xr3:uid="{9C99C5DB-489C-4002-B04A-B16D24ABF10C}" name="MIN ASHRAE EA_x000a_(CFM)" dataDxfId="428" totalsRowDxfId="39">
      <calculatedColumnFormula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calculatedColumnFormula>
    </tableColumn>
    <tableColumn id="23" xr3:uid="{0CD81329-9529-4F5D-8D4B-B139A3800A5C}" name="DESIGN VAV MIN SA(CFM)" dataDxfId="427" totalsRowDxfId="38">
      <calculatedColumnFormula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calculatedColumnFormula>
    </tableColumn>
    <tableColumn id="15" xr3:uid="{4B0BA46E-EFF8-4076-AE85-C803D630E363}" name="Calculated VAV Max CFM" dataDxfId="426" totalsRowDxfId="37">
      <calculatedColumnFormula array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Room]])</calculatedColumnFormula>
    </tableColumn>
    <tableColumn id="22" xr3:uid="{C5A8A555-88AC-459F-9F83-83E50B8FB331}" name="DESIGN VAV MAX SA(CFM)" totalsRowFunction="sum" dataDxfId="425" totalsRowDxfId="36">
      <calculatedColumnFormula>Ahu_Ashrae_Generic[[#This Row],[Calculated VAV Max CFM]]</calculatedColumnFormula>
    </tableColumn>
    <tableColumn id="26" xr3:uid="{C209B658-68EC-4534-8D10-A67298439FE6}" name="DESIGN RA (CFM)" totalsRowFunction="sum" dataDxfId="424" totalsRowDxfId="35">
      <calculatedColumnFormula array="1">Returnair(Ahu_Ashrae_Generic[[#This Row],[Calculated VAV Max CFM]],Ahu_Ashrae_Generic[[#This Row],[Desired Room Balance]],Ahu_Ashrae_Generic[[#This Row],[Exhausted?]],Ahu_Ashrae_Generic[[#This Row],[Misc Exhaust From Room]])</calculatedColumnFormula>
    </tableColumn>
    <tableColumn id="29" xr3:uid="{2FC77A91-15C9-4850-A858-6F923D344079}" name="DESIGN EA(CFM)" totalsRowFunction="sum" dataDxfId="423" totalsRowDxfId="34">
      <calculatedColumnFormula array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calculatedColumnFormula>
    </tableColumn>
    <tableColumn id="30" xr3:uid="{A35D6C48-B8D4-4488-A3BE-9C7B9622187A}" name="Transfer Air CFM" dataDxfId="422" totalsRowDxfId="33">
      <calculatedColumnFormula>Ahu_Ashrae_Generic[[#This Row],[DESIGN VAV MAX SA(CFM)]]-Ahu_Ashrae_Generic[[#This Row],[DESIGN RA (CFM)]]-Ahu_Ashrae_Generic[[#This Row],[DESIGN EA(CFM)]]</calculatedColumnFormula>
    </tableColumn>
    <tableColumn id="35" xr3:uid="{ACFFB6CD-9605-47FC-BF87-E301EDFFAF73}" name="OA Frac (Z)" dataDxfId="421" totalsRowDxfId="32" dataCellStyle="Percent">
      <calculatedColumnFormula>Ahu_Ashrae_Generic[[#This Row],[OUTSIDE AIRFLOW (CFM) (Vot)]]/Ahu_Ashrae_Generic[[#This Row],[DESIGN VAV MAX SA(CFM)]]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26ED529-4751-4709-9BFD-AA90E931CCBD}" name="AHU_VAV_SCHEDULE" displayName="AHU_VAV_SCHEDULE" ref="A1:S4" totalsRowCount="1" headerRowDxfId="420" dataDxfId="418" totalsRowDxfId="416" headerRowBorderDxfId="419" tableBorderDxfId="417" totalsRowBorderDxfId="415">
  <autoFilter ref="A1:S3" xr:uid="{13D566E9-CE9D-4920-9557-440C01DE1A40}"/>
  <tableColumns count="19">
    <tableColumn id="1" xr3:uid="{F4100601-C8F7-4EDA-B9ED-EC5144A4622B}" name="ZONE" totalsRowLabel="Total" dataDxfId="414" totalsRowDxfId="413"/>
    <tableColumn id="2" xr3:uid="{DE711A04-3BAB-4400-94F9-9EA1A3D93724}" name="BASIS OF DESIGN _x000a_MANUFACTURER" dataDxfId="412" totalsRowDxfId="411"/>
    <tableColumn id="3" xr3:uid="{5EFC2877-1E13-4BC7-9997-881F4F723359}" name="DESCRIPTION" dataDxfId="410" totalsRowDxfId="409"/>
    <tableColumn id="18" xr3:uid="{4BD82A36-B59C-4680-BDCB-C1D5CE6D8206}" name="MIN VAV_x000a_(CFM)" dataDxfId="408" totalsRowDxfId="407">
      <calculatedColumnFormula>SUMIF(Ahu_Ashrae_Generic[Zone],AHU_VAV_SCHEDULE[[#This Row],[ZONE]],Ahu_Ashrae_Generic[DESIGN VAV MIN SA(CFM)])</calculatedColumnFormula>
    </tableColumn>
    <tableColumn id="20" xr3:uid="{4C9D23FA-7727-4CB2-BC60-4CDC07EFE151}" name="MAX VAV_x000a_(CFM)" dataDxfId="406" totalsRowDxfId="405">
      <calculatedColumnFormula>SUMIF(Ahu_Ashrae_Generic[Zone],AHU_VAV_SCHEDULE[[#This Row],[ZONE]],Ahu_Ashrae_Generic[DESIGN VAV MAX SA(CFM)])</calculatedColumnFormula>
    </tableColumn>
    <tableColumn id="5" xr3:uid="{FA2A9B0D-AB59-4FC8-A9ED-5973CFB8D00D}" name="VAV INLET SIZE_x000a_(IN)" dataDxfId="404" totalsRowDxfId="403">
      <calculatedColumnFormula>IFERROR((VLOOKUP(AHU_VAV_SCHEDULE[[#This Row],[MAX VAV
(CFM)]],'DO NOT TOUCH'!$C$9:$D$14,2,TRUE)),"TBD")</calculatedColumnFormula>
    </tableColumn>
    <tableColumn id="6" xr3:uid="{7BD7D03A-0062-4AE1-A137-B7A43FB31DE2}" name="MAX TOTAL VAV PD _x000a_(IN W.G.)" dataDxfId="402" totalsRowDxfId="401">
      <calculatedColumnFormula>G1</calculatedColumnFormula>
    </tableColumn>
    <tableColumn id="19" xr3:uid="{5F3FB950-6412-4753-A80D-B928E2E9B62C}" name="HEATING AIRFLOW _x000a_(CFM)" dataDxfId="400" totalsRowDxfId="399">
      <calculatedColumnFormula>AHU_VAV_SCHEDULE[[#This Row],[MIN VAV
(CFM)]]</calculatedColumnFormula>
    </tableColumn>
    <tableColumn id="7" xr3:uid="{252B9BF8-54B1-493D-9221-BD358C10E426}" name="EWT" dataDxfId="398" totalsRowDxfId="397">
      <calculatedColumnFormula>INPUT_OUTPUTS!$C$16</calculatedColumnFormula>
    </tableColumn>
    <tableColumn id="8" xr3:uid="{E16AE38C-7652-4771-A602-4043B581B8CE}" name="DESIGN _x000a_LWT" dataDxfId="396" totalsRowDxfId="395">
      <calculatedColumnFormula>INPUT_OUTPUTS!$C$17</calculatedColumnFormula>
    </tableColumn>
    <tableColumn id="9" xr3:uid="{494A5CA5-FC2F-4016-9EDA-AAD0074B0288}" name="EAT" dataDxfId="394" totalsRowDxfId="393">
      <calculatedColumnFormula>K1</calculatedColumnFormula>
    </tableColumn>
    <tableColumn id="10" xr3:uid="{7B534454-B13B-4823-B389-688DB1FFC0C2}" name="DESIGN _x000a_LAT" dataDxfId="392" totalsRowDxfId="391">
      <calculatedColumnFormula>L1</calculatedColumnFormula>
    </tableColumn>
    <tableColumn id="11" xr3:uid="{58C190FA-9339-4475-8FE4-B94254008B39}" name="MIN MBH" totalsRowFunction="sum" dataDxfId="390" totalsRowDxfId="389">
      <calculatedColumnFormula>MROUND((1.08*(L2-K2)*AHU_VAV_SCHEDULE[[#This Row],[HEATING AIRFLOW 
(CFM)]])/1000,0.1)</calculatedColumnFormula>
    </tableColumn>
    <tableColumn id="12" xr3:uid="{E8FC4A04-BE1B-467E-A94D-1BC0BAFF2FAC}" name="AGPM" dataDxfId="388" totalsRowDxfId="387">
      <calculatedColumnFormula>(M2*1000)/(500*(I2-J2))</calculatedColumnFormula>
    </tableColumn>
    <tableColumn id="13" xr3:uid="{AAA466EF-B5D0-49B1-A9E7-E101103D64B4}" name="GPM" totalsRowFunction="sum" dataDxfId="386" totalsRowDxfId="385">
      <calculatedColumnFormula>IF(N2&lt;0.5,0.5,N2)</calculatedColumnFormula>
    </tableColumn>
    <tableColumn id="14" xr3:uid="{8B37A8C5-27D0-4D67-9351-B38D9137444F}" name="MAX WATER _x000a_PD (FT)" dataDxfId="384" totalsRowDxfId="383">
      <calculatedColumnFormula>P1</calculatedColumnFormula>
    </tableColumn>
    <tableColumn id="15" xr3:uid="{CE1AD8A3-6CC9-4182-A598-A96DC629A332}" name="OPER _x000a_WEIGHT_x000a_(LBS)" dataDxfId="382" totalsRowDxfId="381">
      <calculatedColumnFormula>IFERROR((_xlfn.XLOOKUP(F2,'DO NOT TOUCH'!$D$9:$D$14,'DO NOT TOUCH'!$E$9:$E$14,)),"TBD")</calculatedColumnFormula>
    </tableColumn>
    <tableColumn id="16" xr3:uid="{46061A8B-CF07-404A-89CF-B3DC053B9D47}" name="MTG _x000a_DETAIL" dataDxfId="380" totalsRowDxfId="379">
      <calculatedColumnFormula>INPUT_OUTPUTS!$C$19</calculatedColumnFormula>
    </tableColumn>
    <tableColumn id="17" xr3:uid="{AFA49697-1C1E-4B56-9982-63047E73069E}" name="REMARKS" dataDxfId="378" totalsRowDxfId="377">
      <calculatedColumnFormula>S1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4F41AF6D-5198-40C5-AFC6-4AD09F4B3340}" name="room_temperature" displayName="room_temperature" ref="B3:E33" totalsRowShown="0" headerRowDxfId="376" headerRowBorderDxfId="375" tableBorderDxfId="374" headerRowCellStyle="Heading 1">
  <autoFilter ref="B3:E33" xr:uid="{4F41AF6D-5198-40C5-AFC6-4AD09F4B3340}"/>
  <tableColumns count="4">
    <tableColumn id="1" xr3:uid="{8C4358E4-8332-46EE-9633-E01BA5E0FFA8}" name="Room Type"/>
    <tableColumn id="2" xr3:uid="{8EC9D9B9-6EA7-4063-AB41-A2A92B121CB5}" name="Summer Indoor DB"/>
    <tableColumn id="3" xr3:uid="{7A5A052E-B0BD-44E3-B13B-48E7A765D302}" name="Summer Indoor WB"/>
    <tableColumn id="4" xr3:uid="{7A6778F2-8E52-4700-8CF5-72274E8B9F21}" name="Winter Indoor DB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AHU_Schedules" displayName="AHU_Schedules" ref="A11:BB13" totalsRowCount="1" headerRowDxfId="373" dataDxfId="371" headerRowBorderDxfId="372" tableBorderDxfId="370">
  <autoFilter ref="A11:BB12" xr:uid="{E6D9D33A-2DE5-364A-B78C-5DD7A614D29B}"/>
  <tableColumns count="54">
    <tableColumn id="1" xr3:uid="{75084425-A44B-8E45-87AE-08AECD33E09D}" name="TAG" totalsRowLabel="Total" dataDxfId="369" totalsRowDxfId="368"/>
    <tableColumn id="2" xr3:uid="{C741F4EF-D022-3147-B8E2-8A68ED8EF0CC}" name="(CFM)" totalsRowFunction="sum" dataDxfId="367" totalsRowDxfId="366">
      <calculatedColumnFormula>SUM(#REF!)*INPUT_OUTPUTS!$C$18</calculatedColumnFormula>
    </tableColumn>
    <tableColumn id="4" xr3:uid="{8F33E354-148B-E049-A9AB-2FEBF1D2ABCF}" name="(CFM)2" dataDxfId="365" totalsRowDxfId="364">
      <calculatedColumnFormula>SUM(#REF!)*INPUT_OUTPUTS!$C$18</calculatedColumnFormula>
    </tableColumn>
    <tableColumn id="6" xr3:uid="{44289BD7-7B7A-5040-A9C3-A81E708605BA}" name="(˚F db)" dataDxfId="363" totalsRowDxfId="362"/>
    <tableColumn id="7" xr3:uid="{A118C93B-9473-8340-A213-7536CC01FA69}" name="(˚F wb)" dataDxfId="361" totalsRowDxfId="360"/>
    <tableColumn id="8" xr3:uid="{BA4E1C0D-A98F-C94F-B5DE-2C36AC9D0BA3}" name="(CFM)3" dataDxfId="359" totalsRowDxfId="358">
      <calculatedColumnFormula>SUM(#REF!)*INPUT_OUTPUTS!$C$18</calculatedColumnFormula>
    </tableColumn>
    <tableColumn id="9" xr3:uid="{8E2A683D-7B4C-954E-A75A-56B4A8A15F0B}" name="(˚F db)4" dataDxfId="357" totalsRowDxfId="356">
      <calculatedColumnFormula>INPUT_OUTPUTS!$C$8</calculatedColumnFormula>
    </tableColumn>
    <tableColumn id="10" xr3:uid="{D83D5AD6-51F5-5E4B-BE3C-C238ECC50CFF}" name="(˚F wb)5" dataDxfId="355" totalsRowDxfId="354">
      <calculatedColumnFormula>INPUT_OUTPUTS!$C$9</calculatedColumnFormula>
    </tableColumn>
    <tableColumn id="11" xr3:uid="{58DDBF84-EFFA-734F-B069-FD929AE8505B}" name="(CFM)6" dataDxfId="353" totalsRowDxfId="352">
      <calculatedColumnFormula>AHU_Schedules[[#This Row],[(CFM)3]]</calculatedColumnFormula>
    </tableColumn>
    <tableColumn id="12" xr3:uid="{7D7925B1-33E7-A84F-AAEC-67A01BBE986C}" name="(˚F db)7" dataDxfId="351" totalsRowDxfId="350">
      <calculatedColumnFormula>INPUT_OUTPUTS!$C$10</calculatedColumnFormula>
    </tableColumn>
    <tableColumn id="13" xr3:uid="{9E21E0BF-E9C5-C54C-9B8C-005C0935E109}" name="(˚F wb)8" dataDxfId="349" totalsRowDxfId="348">
      <calculatedColumnFormula>INPUT_OUTPUTS!$C$11</calculatedColumnFormula>
    </tableColumn>
    <tableColumn id="14" xr3:uid="{AC23D981-3B01-5147-97B6-3252A7FC953B}" name="(˚F db)9" dataDxfId="347" totalsRowDxfId="346">
      <calculatedColumnFormula>INPUT_OUTPUTS!$F$8</calculatedColumnFormula>
    </tableColumn>
    <tableColumn id="15" xr3:uid="{DB54E7DD-3A47-6447-A89B-94C85E52BE7D}" name="(CFM)10" dataDxfId="345" totalsRowDxfId="344">
      <calculatedColumnFormula>C12+F12-B12</calculatedColumnFormula>
    </tableColumn>
    <tableColumn id="16" xr3:uid="{4FEC2D7C-9758-744F-A9BF-FBA46547E062}" name="(˚F db)11" dataDxfId="343" totalsRowDxfId="342">
      <calculatedColumnFormula array="1">MixedAirTemp(AHU_Schedules[[#This Row],[(CFM)3]],AHU_Schedules[[#This Row],[(˚F db)4]],(AHU_Schedules[[#This Row],[(CFM)2]]-AHU_Schedules[[#This Row],[(CFM)10]]),AHU_Schedules[[#This Row],[(˚F db)]])</calculatedColumnFormula>
    </tableColumn>
    <tableColumn id="17" xr3:uid="{B005BDD5-39CF-2B47-842F-C982BA9FC7E1}" name="(˚F wb)12" dataDxfId="341" totalsRowDxfId="340">
      <calculatedColumnFormula array="1">MixedAirTemp(AHU_Schedules[[#This Row],[(CFM)3]],AHU_Schedules[[#This Row],[(˚F wb)5]],(AHU_Schedules[[#This Row],[(CFM)2]]-AHU_Schedules[[#This Row],[(CFM)10]]),AHU_Schedules[[#This Row],[(˚F wb)]])</calculatedColumnFormula>
    </tableColumn>
    <tableColumn id="18" xr3:uid="{5AC4E564-0F72-0E49-B041-B5DE3FD4DD18}" name="(h)" dataDxfId="339" totalsRowDxfId="338">
      <calculatedColumnFormula array="1">GetMoistAirEnthalpy(AHU_Schedules[[#This Row],[(˚F db)11]],(GetHumRatioFromTWetBulb(AHU_Schedules[[#This Row],[(˚F db)11]],AHU_Schedules[[#This Row],[(˚F wb)12]],GetStandardAtmPressure(INPUT_OUTPUTS!$G$6))))</calculatedColumnFormula>
    </tableColumn>
    <tableColumn id="19" xr3:uid="{1CF6B834-F9E4-7943-9908-D52F6A59E930}" name="(˚F db)13" dataDxfId="337" totalsRowDxfId="336"/>
    <tableColumn id="20" xr3:uid="{069031AB-30B0-304F-BA24-44B4C6E6101C}" name="(˚F wb)14" dataDxfId="335" totalsRowDxfId="334"/>
    <tableColumn id="21" xr3:uid="{1EA24A2B-BE77-6945-9098-6C4501A9902F}" name="(h)15" dataDxfId="333" totalsRowDxfId="332">
      <calculatedColumnFormula array="1">GetMoistAirEnthalpy(AHU_Schedules[[#This Row],[(˚F db)13]],(GetHumRatioFromTWetBulb(AHU_Schedules[[#This Row],[(˚F db)13]],AHU_Schedules[[#This Row],[(˚F wb)14]],GetStandardAtmPressure(INPUT_OUTPUTS!$G$6))))</calculatedColumnFormula>
    </tableColumn>
    <tableColumn id="22" xr3:uid="{05796239-DA0D-E349-ADE3-8A1B87E96861}" name="(Btu/hr)" dataDxfId="331" totalsRowDxfId="330">
      <calculatedColumnFormula>B12*1.085*(N12-Q12)</calculatedColumnFormula>
    </tableColumn>
    <tableColumn id="23" xr3:uid="{02C21CA2-732A-8C4C-93ED-640017544BD3}" name="(Btu/hr)16" dataDxfId="329" totalsRowDxfId="328">
      <calculatedColumnFormula>4.5*B12*(P12-S12)</calculatedColumnFormula>
    </tableColumn>
    <tableColumn id="24" xr3:uid="{80183150-6317-2C46-B9FB-5600693E1D79}" name="(Tons)" dataDxfId="327" totalsRowDxfId="326">
      <calculatedColumnFormula>IF(U12&lt;T12,"INVALID POINT",U12/12000)</calculatedColumnFormula>
    </tableColumn>
    <tableColumn id="25" xr3:uid="{8AF1DEDF-1446-A54C-A718-1F4A80DCED1F}" name="(˚F db)17" dataDxfId="325" totalsRowDxfId="324">
      <calculatedColumnFormula>INPUT_OUTPUTS!$C$14</calculatedColumnFormula>
    </tableColumn>
    <tableColumn id="26" xr3:uid="{30713AF6-10A7-A640-9A81-7C9C656F28C6}" name="(˚F db)18" dataDxfId="323" totalsRowDxfId="322">
      <calculatedColumnFormula>INPUT_OUTPUTS!$C$15</calculatedColumnFormula>
    </tableColumn>
    <tableColumn id="27" xr3:uid="{07E9B9A3-68BD-0040-B64A-445B4F7DB78B}" name="GPM" totalsRowFunction="sum" dataDxfId="321" totalsRowDxfId="320">
      <calculatedColumnFormula>U12/(500*(X12-W12))</calculatedColumnFormula>
    </tableColumn>
    <tableColumn id="28" xr3:uid="{63A1C04A-F0C1-344B-9C91-CDCBB09CC808}" name="(˚F db)19" dataDxfId="319" totalsRowDxfId="318">
      <calculatedColumnFormula>D12*((C12-M12)/B12) + J12*(F12/B12)</calculatedColumnFormula>
    </tableColumn>
    <tableColumn id="29" xr3:uid="{6B8C516D-DE70-BF40-8E5C-0B23062187E5}" name="(˚F wb)20" dataDxfId="317" totalsRowDxfId="316">
      <calculatedColumnFormula>TRUNC(E12*((C12-M12)/B12) + K12*(F12/B12),1)</calculatedColumnFormula>
    </tableColumn>
    <tableColumn id="30" xr3:uid="{045EE11E-9647-ED4C-9652-8752BBE74982}" name="(h)21" dataDxfId="315" totalsRowDxfId="314">
      <calculatedColumnFormula array="1">GetMoistAirEnthalpy(AHU_Schedules[[#This Row],[(˚F db)19]],(GetHumRatioFromTWetBulb(AHU_Schedules[[#This Row],[(˚F db)19]],AHU_Schedules[[#This Row],[(˚F wb)20]],GetStandardAtmPressure(INPUT_OUTPUTS!$G$6))))</calculatedColumnFormula>
    </tableColumn>
    <tableColumn id="31" xr3:uid="{1C877888-78C7-FA4C-A946-1B9EDB031094}" name="(˚F db)22" dataDxfId="313" totalsRowDxfId="312">
      <calculatedColumnFormula>AHU_Schedules[[#This Row],[(˚F db)13]]</calculatedColumnFormula>
    </tableColumn>
    <tableColumn id="32" xr3:uid="{5E7C32E8-28E9-554C-93A3-4ED479273F5C}" name="(˚F wb)23" dataDxfId="311" totalsRowDxfId="310">
      <calculatedColumnFormula>AHU_Schedules[[#This Row],[(˚F wb)14]]</calculatedColumnFormula>
    </tableColumn>
    <tableColumn id="33" xr3:uid="{7EB81F19-A30A-5844-B465-95995C2169F1}" name="(h)24" dataDxfId="309" totalsRowDxfId="308">
      <calculatedColumnFormula array="1">GetMoistAirEnthalpy(AHU_Schedules[[#This Row],[(˚F db)22]],(GetHumRatioFromTWetBulb(AHU_Schedules[[#This Row],[(˚F db)22]],AHU_Schedules[[#This Row],[(˚F wb)23]],GetStandardAtmPressure(INPUT_OUTPUTS!$G$6))))</calculatedColumnFormula>
    </tableColumn>
    <tableColumn id="37" xr3:uid="{B86C10F8-CA05-8945-8F0F-F9E339D5FA04}" name="(Btu/hr)28" dataDxfId="307" totalsRowDxfId="306">
      <calculatedColumnFormula>B12*1.085*(Z12-AC12)</calculatedColumnFormula>
    </tableColumn>
    <tableColumn id="38" xr3:uid="{3C9101C2-66E5-5844-8571-55FD8B0FA8E4}" name="(Btu/hr)29" dataDxfId="305" totalsRowDxfId="304">
      <calculatedColumnFormula>4.5*B12*(AB12-AE12)</calculatedColumnFormula>
    </tableColumn>
    <tableColumn id="39" xr3:uid="{611DF507-C49C-8E40-9B22-204394B4D484}" name="(Tons)30" dataDxfId="303" totalsRowDxfId="302">
      <calculatedColumnFormula>IF(AG12&lt;AF12,"INVALID POINT",AG12/12000)</calculatedColumnFormula>
    </tableColumn>
    <tableColumn id="40" xr3:uid="{8D69DAB9-C665-1C40-8BEE-2F67013BDA9E}" name="(˚F db)31" dataDxfId="301" totalsRowDxfId="300">
      <calculatedColumnFormula>INPUT_OUTPUTS!$C$14</calculatedColumnFormula>
    </tableColumn>
    <tableColumn id="41" xr3:uid="{2C7A8B9E-09E2-C245-8AD4-9B511603B988}" name="(˚F db)32" dataDxfId="299" totalsRowDxfId="298">
      <calculatedColumnFormula>INPUT_OUTPUTS!$C$15</calculatedColumnFormula>
    </tableColumn>
    <tableColumn id="42" xr3:uid="{97B72D8E-BA89-4E4A-B5D1-F02C61433D68}" name="GPM33" totalsRowFunction="sum" dataDxfId="297" totalsRowDxfId="296">
      <calculatedColumnFormula>AG12/(500*(AJ12-AI12))</calculatedColumnFormula>
    </tableColumn>
    <tableColumn id="43" xr3:uid="{EE7A438B-ECC2-DF4B-9129-EA55728EFC2E}" name="(Tons)34" totalsRowFunction="sum" dataDxfId="295" totalsRowDxfId="294">
      <calculatedColumnFormula>MAX(AH12,V12)</calculatedColumnFormula>
    </tableColumn>
    <tableColumn id="44" xr3:uid="{B68CC7E9-570D-A84E-8670-D3C2DEA54479}" name="(CFM)35" dataDxfId="293" totalsRowDxfId="292">
      <calculatedColumnFormula>B12/AH12</calculatedColumnFormula>
    </tableColumn>
    <tableColumn id="59" xr3:uid="{2F2BA6E3-EE55-BA45-94DB-4A9361068B22}" name="GPM MAX" totalsRowFunction="sum" dataDxfId="291" totalsRowDxfId="290">
      <calculatedColumnFormula>MAX(AHU_Schedules[[#This Row],[GPM33]],AHU_Schedules[[#This Row],[GPM]])</calculatedColumnFormula>
    </tableColumn>
    <tableColumn id="45" xr3:uid="{033D6B36-8B19-EB4B-A1E7-E7585C21489B}" name="(CFM)36" dataDxfId="289" totalsRowDxfId="288">
      <calculatedColumnFormula>IF(AHU_Schedules[[#This Row],[(˚F db)9]]&lt;35,B12,"NOT NEEDED")</calculatedColumnFormula>
    </tableColumn>
    <tableColumn id="46" xr3:uid="{940C5796-789D-5B4A-9FCD-445173CBE38B}" name="(˚F db)37" dataDxfId="287" totalsRowDxfId="286">
      <calculatedColumnFormula>IF(AHU_Schedules[[#This Row],[(˚F db)9]]&lt;35,AHU_Schedules[[#This Row],[(˚F db)9]],"NOT NEEDED")</calculatedColumnFormula>
    </tableColumn>
    <tableColumn id="47" xr3:uid="{33252E21-E95C-E84B-AA5C-160823174238}" name="(˚F db)38" dataDxfId="285" totalsRowDxfId="284">
      <calculatedColumnFormula>IF(AHU_Schedules[[#This Row],[(˚F db)9]]&lt;35,38,"NOT NEEDED")</calculatedColumnFormula>
    </tableColumn>
    <tableColumn id="48" xr3:uid="{F5FF0CC7-9CD6-DC4B-9AC8-6CF9532FE75F}" name="(MBH)" totalsRowFunction="sum" dataDxfId="283" totalsRowDxfId="282">
      <calculatedColumnFormula>IF(AHU_Schedules[[#This Row],[(˚F db)9]]&lt;35,AO12*1.085*(AQ12-AP12)/1000,"NOT NEEDED")</calculatedColumnFormula>
    </tableColumn>
    <tableColumn id="49" xr3:uid="{41191CD7-30B2-EE4D-850D-B2169746F6D6}" name="(˚F db)39" dataDxfId="281" totalsRowDxfId="280">
      <calculatedColumnFormula>IF(AHU_Schedules[[#This Row],[(˚F db)9]]&lt;35,INPUT_OUTPUTS!$C$16,"NOT NEEDED")</calculatedColumnFormula>
    </tableColumn>
    <tableColumn id="50" xr3:uid="{4D3CE10E-9198-0E44-849F-6C7B4A36B8CE}" name="(˚F db)40" dataDxfId="279" totalsRowDxfId="278">
      <calculatedColumnFormula>IF(AHU_Schedules[[#This Row],[(˚F db)9]]&lt;35,INPUT_OUTPUTS!$C$17,"NOT NEEDED")</calculatedColumnFormula>
    </tableColumn>
    <tableColumn id="51" xr3:uid="{01E8F924-565C-4D42-9E39-E87365245FFA}" name="GPM41" totalsRowFunction="sum" dataDxfId="277" totalsRowDxfId="276">
      <calculatedColumnFormula>IF(AHU_Schedules[[#This Row],[(˚F db)9]]&lt;35,(AR12*1000)/(500*(AS12-AT12)),"NOT NEEDED")</calculatedColumnFormula>
    </tableColumn>
    <tableColumn id="34" xr3:uid="{7FA025E3-2A8E-4918-AE49-513BEFF26646}" name="CFM" dataDxfId="275" totalsRowDxfId="274"/>
    <tableColumn id="54" xr3:uid="{D0D7EAE6-3EA2-E244-8B8D-01899554629D}" name="(˚F db)43" dataDxfId="273" totalsRowDxfId="272">
      <calculatedColumnFormula>(AHU_Schedules[[#This Row],[(˚F db)9]]*AHU_Schedules[[#This Row],[(CFM)3]] + AHU_Schedules[[#This Row],[(˚F db)]]*(AHU_Schedules[[#This Row],[CFM]]-AHU_Schedules[[#This Row],[(CFM)3]]))/AHU_Schedules[[#This Row],[CFM]]</calculatedColumnFormula>
    </tableColumn>
    <tableColumn id="56" xr3:uid="{0D1DB506-119B-7043-BE7D-652B0413152C}" name="(˚F db)45" dataDxfId="271" totalsRowDxfId="270">
      <calculatedColumnFormula>IF(AHU_Schedules[[#This Row],[(˚F db)43]]&lt;AHU_Schedules[[#This Row],[(˚F db)13]],AHU_Schedules[[#This Row],[(˚F db)13]],"NOT NEEDED")</calculatedColumnFormula>
    </tableColumn>
    <tableColumn id="57" xr3:uid="{C012C8FF-93AB-B94F-BC98-7474F441DD8E}" name="(mbh)46" totalsRowFunction="sum" dataDxfId="269" totalsRowDxfId="268">
      <calculatedColumnFormula>IF(AHU_Schedules[[#This Row],[(˚F db)43]]&lt;AHU_Schedules[[#This Row],[(˚F db)13]],(AHU_Schedules[[#This Row],[CFM]]*1.08*(AHU_Schedules[[#This Row],[(˚F db)45]]-AHU_Schedules[[#This Row],[(˚F db)43]]))/1000,"NOT NEEDED")</calculatedColumnFormula>
    </tableColumn>
    <tableColumn id="3" xr3:uid="{9514A6A6-2985-447E-8AB0-FAE06204FA9E}" name="(˚F db)392" dataDxfId="267" totalsRowDxfId="266">
      <calculatedColumnFormula>IF(AHU_Schedules[[#This Row],[(˚F db)43]]&lt;AHU_Schedules[[#This Row],[(˚F db)13]],INPUT_OUTPUTS!$C$16,"NOT NEEDED")</calculatedColumnFormula>
    </tableColumn>
    <tableColumn id="5" xr3:uid="{61B2ED4E-DEF3-42F9-ABE1-2D1324A74A29}" name="(˚F db)403" dataDxfId="265" totalsRowDxfId="264">
      <calculatedColumnFormula>IF(AHU_Schedules[[#This Row],[(˚F db)43]]&lt;AHU_Schedules[[#This Row],[(˚F db)13]],INPUT_OUTPUTS!$C$17,"NOT NEEDED")</calculatedColumnFormula>
    </tableColumn>
    <tableColumn id="60" xr3:uid="{3575FFB4-394C-DC4E-9487-884A377EB86A}" name="(˚F db)46" totalsRowFunction="sum" dataDxfId="263" totalsRowDxfId="262">
      <calculatedColumnFormula>IF(AHU_Schedules[[#This Row],[(˚F db)43]]&lt;AHU_Schedules[[#This Row],[(˚F db)13]],(AHU_Schedules[[#This Row],[(mbh)46]]*1000)/(500*(AHU_Schedules[[#This Row],[(˚F db)392]]-AHU_Schedules[[#This Row],[(˚F db)403]])),"NOT NEEDED")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9B85608-0CD2-47F2-870C-191ADDE0C2B8}" name="Ahu_Ashrae_sheet" displayName="Ahu_Ashrae_sheet" ref="A5:AB9" totalsRowCount="1" headerRowDxfId="261" dataDxfId="260" totalsRowDxfId="258" tableBorderDxfId="259">
  <autoFilter ref="A5:AB8" xr:uid="{59B85608-0CD2-47F2-870C-191ADDE0C2B8}"/>
  <tableColumns count="28">
    <tableColumn id="3" xr3:uid="{80B2F9E7-1259-4673-96AB-0F4F83EB3D46}" name="Room Number" dataDxfId="257" totalsRowDxfId="29"/>
    <tableColumn id="4" xr3:uid="{0BD09193-37D6-4F7C-BCAE-45CFF2C8A151}" name="Room" totalsRowFunction="count" dataDxfId="256" totalsRowDxfId="28"/>
    <tableColumn id="6" xr3:uid="{E95CEC16-C2FC-4214-A0EB-7A08FDEAF0F9}" name="AREA _x000a_(FT²)" totalsRowFunction="sum" dataDxfId="255" totalsRowDxfId="27"/>
    <tableColumn id="2" xr3:uid="{465D17D5-DC35-4BDD-AC35-043CF1C7357C}" name="Desired Room Balance" dataDxfId="72" totalsRowDxfId="26"/>
    <tableColumn id="18" xr3:uid="{6DA2FAE7-17CA-4FE0-8359-8C4FF34595A6}" name="Exhaust Units" dataDxfId="254" totalsRowDxfId="25"/>
    <tableColumn id="7" xr3:uid="{583FAE05-9F7D-48E5-BEF5-13CEE070C1D5}" name="OFFICE STANDARD _x000a_(CFM)" dataDxfId="253" totalsRowDxfId="24">
      <calculatedColumnFormula>IF((VLOOKUP(Ahu_Ashrae_sheet[[#This Row],[Occupancy Category]],Ashrae90.1Vent[#All],7,FALSE)) = "YES",MROUND(C6/2,5),MROUND(C6,5))</calculatedColumnFormula>
    </tableColumn>
    <tableColumn id="8" xr3:uid="{47403FA0-F7C3-45DA-A426-0E7EA8BC2C2D}" name="LOAD (CFM)" totalsRowFunction="sum" dataDxfId="252" totalsRowDxfId="23"/>
    <tableColumn id="17" xr3:uid="{9950D068-2B64-41F9-A84D-F7BB46AA37B4}" name="Exhaust Category" dataDxfId="251" totalsRowDxfId="22"/>
    <tableColumn id="5" xr3:uid="{593AD6F9-FDB5-4388-9BB0-C939DB13E66D}" name="Occupancy Category" dataDxfId="250" totalsRowDxfId="21"/>
    <tableColumn id="10" xr3:uid="{7266144B-9C83-4090-884A-1BB5A987F5A7}" name="RP_x000a_(CFM/PER PERSON)" dataDxfId="249" totalsRowDxfId="20">
      <calculatedColumnFormula>VLOOKUP(Ahu_Ashrae_sheet[[#This Row],[Occupancy Category]],Ashrae90.1Vent[#All],2,FALSE)</calculatedColumnFormula>
    </tableColumn>
    <tableColumn id="11" xr3:uid="{09B8A030-EFEC-4BFF-ACC4-60D52EC4A99A}" name="RA_x000a_(CFM/FT²)" dataDxfId="248" totalsRowDxfId="19">
      <calculatedColumnFormula>VLOOKUP(Ahu_Ashrae_sheet[[#This Row],[Occupancy Category]],Ashrae90.1Vent[#All],3,FALSE)</calculatedColumnFormula>
    </tableColumn>
    <tableColumn id="9" xr3:uid="{8A1EE948-BF4B-4ECE-B0BC-2D78AE8EBCB1}" name="OCCUPANT DENSITY_x000a_(#/1000 FT²)" dataDxfId="247" totalsRowDxfId="18">
      <calculatedColumnFormula>VLOOKUP(Ahu_Ashrae_sheet[[#This Row],[Occupancy Category]],Ashrae90.1Vent[#All],4,FALSE)</calculatedColumnFormula>
    </tableColumn>
    <tableColumn id="12" xr3:uid="{B627EA84-4F12-4D9C-9B2E-8C8B23AA47EF}" name="Air Class" dataDxfId="246" totalsRowDxfId="17">
      <calculatedColumnFormula>VLOOKUP(Ahu_Ashrae_sheet[[#This Row],[Occupancy Category]],Ashrae90.1Vent[#All],5,FALSE)</calculatedColumnFormula>
    </tableColumn>
    <tableColumn id="13" xr3:uid="{2482AE45-6727-4713-94E7-C56A28C53053}" name="Occupants" totalsRowFunction="sum" dataDxfId="245" totalsRowDxfId="16">
      <calculatedColumnFormula>CEILING((L6/1000)*C6,1)</calculatedColumnFormula>
    </tableColumn>
    <tableColumn id="14" xr3:uid="{F57C4FE9-D689-4840-BE7F-8AAC8AF32E90}" name="Vbz" dataDxfId="244" totalsRowDxfId="15">
      <calculatedColumnFormula>(Ahu_Ashrae_sheet[[#This Row],[RP
(CFM/PER PERSON)]]*Ahu_Ashrae_sheet[[#This Row],[Occupants]])+(Ahu_Ashrae_sheet[[#This Row],[RA
(CFM/FT²)]]*Ahu_Ashrae_sheet[[#This Row],[AREA 
(FT²)]])</calculatedColumnFormula>
    </tableColumn>
    <tableColumn id="15" xr3:uid="{04F71ADE-9C52-4AAD-A4D5-481B6A3913FB}" name="Ez" dataDxfId="243" totalsRowDxfId="14"/>
    <tableColumn id="16" xr3:uid="{E815DDA4-80F1-4B30-89A0-831145D8A65F}" name="Voz" dataDxfId="242" totalsRowDxfId="13">
      <calculatedColumnFormula>O6/P6</calculatedColumnFormula>
    </tableColumn>
    <tableColumn id="21" xr3:uid="{3796FC97-1024-4F8D-AF4A-C1BCEDC0304A}" name="OUTSIDE AIRFLOW (CFM) (Vot)" totalsRowFunction="sum" dataDxfId="241" totalsRowDxfId="12">
      <calculatedColumnFormula>Ahu_Ashrae_sheet[[#This Row],[Voz]]</calculatedColumnFormula>
    </tableColumn>
    <tableColumn id="23" xr3:uid="{D05FF6A7-2E60-430B-AE82-815C132F1D10}" name="Misc Exhaust From Room" dataDxfId="30" totalsRowDxfId="11"/>
    <tableColumn id="20" xr3:uid="{13FA33DD-5792-4573-864F-06398F2084BA}" name="Exhausted?" dataDxfId="31" totalsRowDxfId="10">
      <calculatedColumnFormula>IF(Ahu_Ashrae_sheet[[#This Row],[Exhaust Category]] = "NOT APPLICABLE","NR","YES")</calculatedColumnFormula>
    </tableColumn>
    <tableColumn id="27" xr3:uid="{D6F07612-EAC0-4AD6-8EB3-909D232BF60F}" name="EA RATE_x000a_(CFM/UNIT)" dataDxfId="240" totalsRowDxfId="9">
      <calculatedColumnFormula>IF(Ahu_Ashrae_sheet[[#This Row],[Exhaust Category]]="NOT APPLICABLE","NA",VLOOKUP(Ahu_Ashrae_sheet[[#This Row],[Exhaust Category]],ASHRAE_EA_Table[#All],2,FALSE))</calculatedColumnFormula>
    </tableColumn>
    <tableColumn id="19" xr3:uid="{162CF25C-455F-4425-BBCF-EF541E4CC9A8}" name="EA RATE_x000a_(CFM/FT²)" dataDxfId="239" totalsRowDxfId="8">
      <calculatedColumnFormula>IF(Ahu_Ashrae_sheet[[#This Row],[Exhaust Category]]="NOT APPLICABLE","NA",VLOOKUP(Ahu_Ashrae_sheet[[#This Row],[Exhaust Category]],ASHRAE_EA_Table[#All],3,FALSE))</calculatedColumnFormula>
    </tableColumn>
    <tableColumn id="28" xr3:uid="{B0045427-3B74-4ECE-A325-8F14C261EA1F}" name="MIN ASHRAE EA_x000a_(CFM)" dataDxfId="238" totalsRowDxfId="7">
      <calculatedColumnFormula>Ahu_Ashrae_sheet[[#This Row],[Misc Exhaust From Room]]+(IFERROR(IF(Ahu_Ashrae_sheet[[#This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(CFM/UNIT)]])),0))</calculatedColumnFormula>
    </tableColumn>
    <tableColumn id="22" xr3:uid="{A28E5D34-9B1F-421B-88CE-1EDD499FE4B0}" name="DESIGN SA(CFM)" totalsRowFunction="sum" dataDxfId="237" totalsRowDxfId="6">
      <calculatedColumnFormula array="1">supplyair(Ahu_Ashrae_sheet[[#This Row],[LOAD (CFM)]],Ahu_Ashrae_sheet[[#This Row],[OFFICE STANDARD 
(CFM)]],Ahu_Ashrae_sheet[[#This Row],[OFFICE STANDARD 
(CFM)]],Ahu_Ashrae_sheet[[#This Row],[Desired Room Balance]],Ahu_Ashrae_sheet[[#This Row],[Exhausted?]],Ahu_Ashrae_sheet[[#This Row],[MIN ASHRAE EA
(CFM)]],Ahu_Ashrae_sheet[[#This Row],[Misc Exhaust From Room]])</calculatedColumnFormula>
    </tableColumn>
    <tableColumn id="26" xr3:uid="{E5C38A60-425D-4F6C-9FDB-5E20E1A3E7E8}" name="DESIGN RA(CFM)" totalsRowFunction="sum" dataDxfId="236" totalsRowDxfId="5">
      <calculatedColumnFormula array="1">Returnair(Ahu_Ashrae_sheet[[#This Row],[DESIGN SA(CFM)]],Ahu_Ashrae_sheet[[#This Row],[Desired Room Balance]],Ahu_Ashrae_sheet[[#This Row],[Exhausted?]],Ahu_Ashrae_sheet[[#This Row],[Misc Exhaust From Room]])</calculatedColumnFormula>
    </tableColumn>
    <tableColumn id="29" xr3:uid="{7CBBFD1A-04A3-40BF-ADB5-C1CAA7ED83DE}" name="DESIGN EA(CFM)" totalsRowFunction="sum" dataDxfId="235" totalsRowDxfId="4">
      <calculatedColumnFormula array="1">Exhaustair(Ahu_Ashrae_sheet[[#This Row],[DESIGN SA(CFM)]],Ahu_Ashrae_sheet[[#This Row],[Exhausted?]],Ahu_Ashrae_sheet[[#This Row],[MIN ASHRAE EA
(CFM)]],Ahu_Ashrae_sheet[[#This Row],[Desired Room Balance]],Ahu_Ashrae_sheet[[#This Row],[Misc Exhaust From Room]])</calculatedColumnFormula>
    </tableColumn>
    <tableColumn id="30" xr3:uid="{AB62DC65-850C-4361-8132-0512F10C7B71}" name="Transfer Air CFM" dataDxfId="234" totalsRowDxfId="3">
      <calculatedColumnFormula>Ahu_Ashrae_sheet[[#This Row],[DESIGN SA(CFM)]]-Ahu_Ashrae_sheet[[#This Row],[DESIGN RA(CFM)]]-Ahu_Ashrae_sheet[[#This Row],[DESIGN EA(CFM)]]</calculatedColumnFormula>
    </tableColumn>
    <tableColumn id="35" xr3:uid="{0A6D88A1-5A0C-4F78-ADE8-54D0A5956F9A}" name="OA Frac (Z)" dataDxfId="233" totalsRowDxfId="2" dataCellStyle="Percent">
      <calculatedColumnFormula>Ahu_Ashrae_sheet[[#This Row],[OUTSIDE AIRFLOW (CFM) (Vot)]]/Ahu_Ashrae_sheet[[#This Row],[DESIGN SA(CFM)]]</calculatedColumnFormula>
    </tableColumn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549DDA-58B9-454D-BB1A-893F61F17227}" name="Table721" displayName="Table721" ref="A11:AC13" totalsRowCount="1" headerRowDxfId="232" dataDxfId="230" headerRowBorderDxfId="231" tableBorderDxfId="229">
  <autoFilter ref="A11:AC12" xr:uid="{E6D9D33A-2DE5-364A-B78C-5DD7A614D29B}"/>
  <tableColumns count="29">
    <tableColumn id="1" xr3:uid="{8F0B1537-0A79-4F26-BBC1-ABDEF31A2274}" name="TAG" totalsRowLabel="Total" dataDxfId="228" totalsRowDxfId="227"/>
    <tableColumn id="2" xr3:uid="{15B37BBD-9CA2-48E8-AAF4-88EB052224A5}" name="(CFM)" totalsRowFunction="sum" dataDxfId="226" totalsRowDxfId="225"/>
    <tableColumn id="4" xr3:uid="{EEAD63A0-2D37-4A3A-A2D2-44BD3554907A}" name="(CFM)2" dataDxfId="224" totalsRowDxfId="223"/>
    <tableColumn id="6" xr3:uid="{FD957343-AFCA-4D1E-A1D9-8226DF6BCE02}" name="(˚F db)" dataDxfId="222" totalsRowDxfId="221"/>
    <tableColumn id="7" xr3:uid="{FD210E09-D3A7-4829-BEFF-304D3716F3E8}" name="(˚F wb)" dataDxfId="220" totalsRowDxfId="219"/>
    <tableColumn id="8" xr3:uid="{58D5B86B-6B27-4C4F-9592-0F8B85897FC1}" name="(CFM)3" dataDxfId="218" totalsRowDxfId="217"/>
    <tableColumn id="9" xr3:uid="{A71BD3A8-43D2-48B5-9554-98B4EEE172A4}" name="(˚F db)4" dataDxfId="216" totalsRowDxfId="215">
      <calculatedColumnFormula>INPUT_OUTPUTS!$C$8</calculatedColumnFormula>
    </tableColumn>
    <tableColumn id="10" xr3:uid="{962517D7-650F-477B-A57C-B2CC27B9D32B}" name="(˚F wb)5" dataDxfId="214" totalsRowDxfId="213">
      <calculatedColumnFormula>INPUT_OUTPUTS!$C$9</calculatedColumnFormula>
    </tableColumn>
    <tableColumn id="14" xr3:uid="{55948B91-497F-4F3F-9D0B-F5D2DD6AD125}" name="(˚F db)9" dataDxfId="212" totalsRowDxfId="211">
      <calculatedColumnFormula>INPUT_OUTPUTS!$F$8</calculatedColumnFormula>
    </tableColumn>
    <tableColumn id="15" xr3:uid="{0D7DF5B1-BA71-4D3D-959F-20B1F51EED47}" name="(CFM)10" dataDxfId="210" totalsRowDxfId="209">
      <calculatedColumnFormula>C12+F12-B12</calculatedColumnFormula>
    </tableColumn>
    <tableColumn id="16" xr3:uid="{415DDCF1-FAFC-4669-99BA-877DB46ACF79}" name="(˚F db)11" dataDxfId="208" totalsRowDxfId="207">
      <calculatedColumnFormula array="1">MixedAirTemp(Table721[[#This Row],[(CFM)3]],Table721[[#This Row],[(˚F db)4]],(Table721[[#This Row],[(CFM)2]]-Table721[[#This Row],[(CFM)10]]),Table721[[#This Row],[(˚F db)]])</calculatedColumnFormula>
    </tableColumn>
    <tableColumn id="17" xr3:uid="{0BB19E89-8C4B-496F-A356-FCBB6AF7D5E7}" name="(˚F wb)12" dataDxfId="206" totalsRowDxfId="205">
      <calculatedColumnFormula array="1">MixedAirTemp(Table721[[#This Row],[(CFM)3]],Table721[[#This Row],[(˚F wb)5]],(Table721[[#This Row],[(CFM)2]]-Table721[[#This Row],[(CFM)10]]),Table721[[#This Row],[(˚F wb)]])</calculatedColumnFormula>
    </tableColumn>
    <tableColumn id="18" xr3:uid="{EAE63929-234F-44E8-A139-6D00809F5AB5}" name="(h)" dataDxfId="204" totalsRowDxfId="203">
      <calculatedColumnFormula array="1">GetMoistAirEnthalpy(Table721[[#This Row],[(˚F db)11]],(GetHumRatioFromTWetBulb(Table721[[#This Row],[(˚F db)11]],Table721[[#This Row],[(˚F wb)12]],GetStandardAtmPressure(INPUT_OUTPUTS!$G$6))))</calculatedColumnFormula>
    </tableColumn>
    <tableColumn id="19" xr3:uid="{01780C45-CA4C-4AA5-A83A-F2B773B82A96}" name="(˚F db)13" dataDxfId="202" totalsRowDxfId="201"/>
    <tableColumn id="20" xr3:uid="{497BA7BC-1B08-487D-9189-15C5F27B9D96}" name="(˚F wb)14" dataDxfId="200" totalsRowDxfId="199"/>
    <tableColumn id="21" xr3:uid="{D834ADEA-CA81-4E72-B13A-9F9B52C6F213}" name="(h)15" dataDxfId="198" totalsRowDxfId="197">
      <calculatedColumnFormula array="1">GetMoistAirEnthalpy(Table721[[#This Row],[(˚F db)13]],(GetHumRatioFromTWetBulb(Table721[[#This Row],[(˚F db)13]],Table721[[#This Row],[(˚F wb)14]],GetStandardAtmPressure(INPUT_OUTPUTS!$G$6))))</calculatedColumnFormula>
    </tableColumn>
    <tableColumn id="22" xr3:uid="{E39D1E7B-7023-4A88-B5BD-CBE6319A06C6}" name="(Btu/hr)" dataDxfId="196" totalsRowDxfId="195">
      <calculatedColumnFormula>B12*1.085*(K12-N12)</calculatedColumnFormula>
    </tableColumn>
    <tableColumn id="23" xr3:uid="{E1DC3503-995B-4E2E-A4C0-FA1A8BF304BD}" name="(Btu/hr)16" dataDxfId="194" totalsRowDxfId="193">
      <calculatedColumnFormula>4.5*B12*(M12-P12)</calculatedColumnFormula>
    </tableColumn>
    <tableColumn id="24" xr3:uid="{5011ECC7-02E0-4385-8D67-6977D0315C8E}" name="(Tons)" dataDxfId="192" totalsRowDxfId="191">
      <calculatedColumnFormula>IF(R12&lt;Q12,"INVALID POINT",R12/12000)</calculatedColumnFormula>
    </tableColumn>
    <tableColumn id="25" xr3:uid="{2828AC03-64A6-4419-968F-07E097EE33B9}" name="(˚F db)17" dataDxfId="190" totalsRowDxfId="189">
      <calculatedColumnFormula>INPUT_OUTPUTS!$C$14</calculatedColumnFormula>
    </tableColumn>
    <tableColumn id="26" xr3:uid="{DB3E362B-B672-4561-8355-608CD347B6D8}" name="(˚F db)18" dataDxfId="188" totalsRowDxfId="187">
      <calculatedColumnFormula>INPUT_OUTPUTS!$C$15</calculatedColumnFormula>
    </tableColumn>
    <tableColumn id="27" xr3:uid="{09910A02-C822-4038-8164-BBEE2FE54D4C}" name="GPM" totalsRowFunction="sum" dataDxfId="186" totalsRowDxfId="185">
      <calculatedColumnFormula>R12/(500*(U12-T12))</calculatedColumnFormula>
    </tableColumn>
    <tableColumn id="34" xr3:uid="{B72EE98A-8CEF-4902-B958-47985491574F}" name="CFM" dataDxfId="184" totalsRowDxfId="183">
      <calculatedColumnFormula>Table721[[#This Row],[(CFM)]]</calculatedColumnFormula>
    </tableColumn>
    <tableColumn id="54" xr3:uid="{82160631-2223-44E5-8C48-172A132D3676}" name="(˚F db)43" dataDxfId="182" totalsRowDxfId="181">
      <calculatedColumnFormula>(Table721[[#This Row],[(˚F db)9]]*Table721[[#This Row],[(CFM)3]] + Table721[[#This Row],[(˚F db)]]*(Table721[[#This Row],[CFM]]-Table721[[#This Row],[(CFM)3]]))/Table721[[#This Row],[CFM]]</calculatedColumnFormula>
    </tableColumn>
    <tableColumn id="56" xr3:uid="{C702EC0F-471A-4EB2-9EB7-3957133D1E66}" name="(˚F db)45" dataDxfId="180" totalsRowDxfId="179"/>
    <tableColumn id="57" xr3:uid="{B4A0FD48-D3B6-4D18-B57A-7791D0AE772F}" name="(mbh)46" totalsRowFunction="sum" dataDxfId="178" totalsRowDxfId="177">
      <calculatedColumnFormula>(Table721[[#This Row],[CFM]]*1.08*(Table721[[#This Row],[(˚F db)45]]-Table721[[#This Row],[(˚F db)43]]))/1000</calculatedColumnFormula>
    </tableColumn>
    <tableColumn id="3" xr3:uid="{CB2187FF-94C6-4BF7-9EF3-14BEA52BA79E}" name="(˚F db)392" dataDxfId="176" totalsRowDxfId="175">
      <calculatedColumnFormula>INPUT_OUTPUTS!$C$16</calculatedColumnFormula>
    </tableColumn>
    <tableColumn id="5" xr3:uid="{989018FB-568D-4937-8D20-2C29E84E7F48}" name="(˚F db)403" dataDxfId="174" totalsRowDxfId="173">
      <calculatedColumnFormula>INPUT_OUTPUTS!$C$17</calculatedColumnFormula>
    </tableColumn>
    <tableColumn id="60" xr3:uid="{DA35478F-D6FA-4A9B-BB41-39AD26A0E9E1}" name="(˚F db)46" totalsRowFunction="sum" dataDxfId="172" totalsRowDxfId="171">
      <calculatedColumnFormula>(Table721[[#This Row],[(mbh)46]]*1000)/(500*(Table721[[#This Row],[(˚F db)392]]-Table721[[#This Row],[(˚F db)403]]))</calculatedColumnFormula>
    </tableColumn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4722567B-F5DC-4109-9DD8-283914BD9235}" name="Table25" displayName="Table25" ref="A3:J4" totalsRowShown="0" headerRowDxfId="170" dataDxfId="169">
  <autoFilter ref="A3:J4" xr:uid="{4722567B-F5DC-4109-9DD8-283914BD9235}"/>
  <tableColumns count="10">
    <tableColumn id="1" xr3:uid="{7D32C4A6-C19F-4D01-97E5-A1152A1BAEF9}" name="CHILLER TAG" dataDxfId="168"/>
    <tableColumn id="2" xr3:uid="{2219859C-7B83-4D4B-A75A-A8A2A4E1086F}" name="DIVERSITY" dataDxfId="167"/>
    <tableColumn id="3" xr3:uid="{BA02662D-DD67-4799-B231-94579CAAD06B}" name="CHILLER CAPACITY (TONS)" dataDxfId="166"/>
    <tableColumn id="4" xr3:uid="{4F5A2DE8-3875-4648-B923-B9E9E51FB566}" name="GPM" dataDxfId="165"/>
    <tableColumn id="5" xr3:uid="{15DC3BCA-6D04-4789-965C-D3D3A5383153}" name="CHWS" dataDxfId="164">
      <calculatedColumnFormula>INPUT_OUTPUTS!$C$14</calculatedColumnFormula>
    </tableColumn>
    <tableColumn id="6" xr3:uid="{01AB0C6C-E62D-46F2-B380-43509BFE6335}" name="CHWR" dataDxfId="163">
      <calculatedColumnFormula>INPUT_OUTPUTS!$C$15</calculatedColumnFormula>
    </tableColumn>
    <tableColumn id="7" xr3:uid="{C76994DA-F032-48B5-8C99-41CBBB7D797D}" name="Heat Rejection at Condenser (BTU/HR)" dataDxfId="162">
      <calculatedColumnFormula>Table25[[#This Row],[CHILLER CAPACITY (TONS)]]*1.25*12000</calculatedColumnFormula>
    </tableColumn>
    <tableColumn id="8" xr3:uid="{837A511C-9CFD-450B-8079-ABE6A6434507}" name="CONDENSER WATER EWT" dataDxfId="161"/>
    <tableColumn id="9" xr3:uid="{CFCF58DF-DEF6-479A-BDB7-A4227602C482}" name="CONDENSER WATER LWT" dataDxfId="160"/>
    <tableColumn id="10" xr3:uid="{F6B54F02-73CB-4519-822B-2045E12E5116}" name="CONDENSER WATER GPM" dataDxfId="159"/>
  </tableColumns>
  <tableStyleInfo name="TableStyleLight16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C29CC425-19F2-45FE-821A-B7C6029BB5DC}" name="Table2527" displayName="Table2527" ref="A10:I11" totalsRowShown="0" headerRowDxfId="158" dataDxfId="157">
  <autoFilter ref="A10:I11" xr:uid="{C29CC425-19F2-45FE-821A-B7C6029BB5DC}"/>
  <tableColumns count="9">
    <tableColumn id="1" xr3:uid="{5368AA83-F46B-4C9B-B009-F085D4A44FD6}" name="BOILER TAG" dataDxfId="156"/>
    <tableColumn id="2" xr3:uid="{5EDA7B46-81EF-4834-97B5-79E0DF18F950}" name="DIVERSITY" dataDxfId="155"/>
    <tableColumn id="3" xr3:uid="{F9420D41-EB15-4E1F-9F2A-27104B8EC2A8}" name="BOILER CAPACITY (MBH)" dataDxfId="154"/>
    <tableColumn id="4" xr3:uid="{F59EBC9A-341C-4F3D-B7D6-FAD0EF67875E}" name="GPM" dataDxfId="153"/>
    <tableColumn id="5" xr3:uid="{A792A9D3-4942-4862-BB19-A64B1CFF9225}" name="HHWS" dataDxfId="152">
      <calculatedColumnFormula>INPUT_OUTPUTS!$C$16</calculatedColumnFormula>
    </tableColumn>
    <tableColumn id="6" xr3:uid="{562E62FC-8D21-4FA4-83DF-803FF786D998}" name="HHWR" dataDxfId="151">
      <calculatedColumnFormula>INPUT_OUTPUTS!$C$17</calculatedColumnFormula>
    </tableColumn>
    <tableColumn id="7" xr3:uid="{77071E59-15A7-44EC-996F-3ED96EB3ED78}" name="BOILER EFFICIENCY" dataDxfId="150"/>
    <tableColumn id="8" xr3:uid="{C733E27D-DC94-48B8-9AC1-906D695D9E7C}" name="INPUT MBH" dataDxfId="149"/>
    <tableColumn id="9" xr3:uid="{2FE11277-C4AC-4AC1-AF1F-F79F1575B738}" name="INPUT KW" dataDxfId="148"/>
  </tableColumns>
  <tableStyleInfo name="TableStyleLight16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94E89E57-AF2C-455E-B912-88382F81D012}" name="Table16" displayName="Table16" ref="B3:J4" totalsRowShown="0" headerRowDxfId="147" dataDxfId="145" headerRowBorderDxfId="146" tableBorderDxfId="144" totalsRowBorderDxfId="143">
  <autoFilter ref="B3:J4" xr:uid="{44411FB6-142F-46EF-BD79-8AC0ACDCD97C}"/>
  <tableColumns count="9">
    <tableColumn id="1" xr3:uid="{61544C74-5662-4522-92E7-E0DEC58BE226}" name="Unit _x000a_Serving" dataDxfId="142"/>
    <tableColumn id="2" xr3:uid="{62DD3D9A-906E-45A0-B542-4A2341DA2C9C}" name="Room _x000a_Name" dataDxfId="141"/>
    <tableColumn id="3" xr3:uid="{B1B58D13-F691-4812-86FC-1BD13B5FE08C}" name="Room _x000a_number " dataDxfId="140"/>
    <tableColumn id="4" xr3:uid="{C260CC61-7A7D-4057-AEFB-C80919810633}" name="Area_x000a_(ft2)" dataDxfId="139"/>
    <tableColumn id="5" xr3:uid="{F7F236E1-500B-4060-8EAE-29336EE30DA0}" name="Height (ft)" dataDxfId="138"/>
    <tableColumn id="7" xr3:uid="{227EB29C-B6BC-4137-8F34-0D23A4AF4E54}" name="Envelope Load _x000a_(BTU/HR)" dataDxfId="137"/>
    <tableColumn id="6" xr3:uid="{DB85C359-06D6-46CF-8260-71BE36AA06B9}" name="Make up Air / OA required" dataDxfId="136" dataCellStyle="Normal 2"/>
    <tableColumn id="8" xr3:uid="{DAE5E387-355D-4E93-BEA3-086D65076529}" name="Watts Per Sqft _x000a_from Equipment" dataDxfId="135">
      <calculatedColumnFormula>(Heat_Generating_Equipment[[#Totals],[Total 
BTUs]]*0.29307107)/Table16[[#This Row],[Area
(ft2)]]</calculatedColumnFormula>
    </tableColumn>
    <tableColumn id="9" xr3:uid="{EF1FA1B9-A715-4623-BF33-F6A3B3D44210}" name="Total Load_x000a_(BTUs)" dataDxfId="134">
      <calculatedColumnFormula>Table16[[#This Row],[Envelope Load 
(BTU/HR)]]+Heat_Generating_Equipment[[#Totals],[Total 
BTUs]]</calculatedColumnFormula>
    </tableColumn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BC32638-447B-4BCE-9C6C-C1EF6EBC4AE9}" name="Heat_Generating_Equipment" displayName="Heat_Generating_Equipment" ref="B8:M23" totalsRowCount="1" headerRowDxfId="133" dataDxfId="132" totalsRowDxfId="131" totalsRowBorderDxfId="130">
  <autoFilter ref="B8:M22" xr:uid="{0C5BFFEC-5ED1-469A-806C-32647A480394}"/>
  <tableColumns count="12">
    <tableColumn id="1" xr3:uid="{BEB8D356-84F4-43B5-924E-B32568058F62}" name="Equipment" totalsRowLabel="Total Load" dataDxfId="129" totalsRowDxfId="128"/>
    <tableColumn id="2" xr3:uid="{9E4D2415-B14D-40B1-95E0-0C9672C8440D}" name="General Equipment _x000a_(BTU/HR)" dataDxfId="127" totalsRowDxfId="126"/>
    <tableColumn id="3" xr3:uid="{8FC3D2BE-D9BD-4007-B636-1672EEADE304}" name="General Equipment _x000a_(Watts)" dataDxfId="125" totalsRowDxfId="124"/>
    <tableColumn id="5" xr3:uid="{43A25169-3CD7-454F-9554-9E297F7BF8D4}" name="Transformer _x000a_(KVA)" dataDxfId="123" totalsRowDxfId="122"/>
    <tableColumn id="6" xr3:uid="{1CFACC13-8384-4E61-B065-A744D3DEDDD3}" name="Transformer _x000a_Efficiency" dataDxfId="121" totalsRowDxfId="120"/>
    <tableColumn id="9" xr3:uid="{8A1B45D2-E6CC-448E-BC2D-015842AECA2A}" name="Server Load _x000a_(Watts)" dataDxfId="119" totalsRowDxfId="118"/>
    <tableColumn id="12" xr3:uid="{636C612B-90A4-4E97-B47D-4ADB9575C0B7}" name="Number of Servers" dataDxfId="117" totalsRowDxfId="116"/>
    <tableColumn id="10" xr3:uid="{9F66B44D-0B69-40BE-B03A-CD99F331EA51}" name="Server Diversity" dataDxfId="115" totalsRowDxfId="114"/>
    <tableColumn id="7" xr3:uid="{448F62D4-0325-4934-B4E5-0AFBC213E284}" name="Transformer _x000a_BTUs" dataDxfId="113" totalsRowDxfId="112">
      <calculatedColumnFormula>E9*(1-F9)*3412.14</calculatedColumnFormula>
    </tableColumn>
    <tableColumn id="4" xr3:uid="{99351F7A-5C5A-43A4-B46A-78E05CB0E0DC}" name="Watts _x000a_to BTUs" dataDxfId="111" totalsRowDxfId="110">
      <calculatedColumnFormula>D9*3.41</calculatedColumnFormula>
    </tableColumn>
    <tableColumn id="11" xr3:uid="{386FF5F8-7A2D-4E02-83E4-59A31EA3329D}" name="Server Load _x000a_(BTUs)" dataDxfId="109" totalsRowDxfId="108">
      <calculatedColumnFormula>Heat_Generating_Equipment[[#This Row],[Server Load 
(Watts)]]*Heat_Generating_Equipment[[#This Row],[Server Diversity]]*3.41*Heat_Generating_Equipment[[#This Row],[Number of Servers]]</calculatedColumnFormula>
    </tableColumn>
    <tableColumn id="8" xr3:uid="{24A8FBA9-A563-4E66-96C9-7D475E96F498}" name="Total _x000a_BTUs" totalsRowFunction="sum" dataDxfId="107" totalsRowDxfId="106">
      <calculatedColumnFormula>MROUND(SUM(Heat_Generating_Equipment[[#This Row],[General Equipment 
(BTU/HR)]],Heat_Generating_Equipment[[#This Row],[Watts 
to BTUs]],Heat_Generating_Equipment[[#This Row],[Transformer 
BTUs]],Heat_Generating_Equipment[[#This Row],[Server Load 
(BTUs)]]),5)</calculatedColumnFormula>
    </tableColumn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5BA8B8-8715-43AE-BC90-D77409CD4392}" name="Ashrae90.1Vent" displayName="Ashrae90.1Vent" ref="A1:G93" totalsRowShown="0" headerRowDxfId="105" dataDxfId="104" dataCellStyle="Normal 2">
  <autoFilter ref="A1:G93" xr:uid="{F45BA8B8-8715-43AE-BC90-D77409CD4392}"/>
  <sortState xmlns:xlrd2="http://schemas.microsoft.com/office/spreadsheetml/2017/richdata2" ref="A2:G93">
    <sortCondition ref="A1:A93"/>
  </sortState>
  <tableColumns count="7">
    <tableColumn id="8" xr3:uid="{657FFBBA-8CBB-41EF-A25F-A9CD4768F24B}" name="Occupancy Category" dataDxfId="103" dataCellStyle="Normal 2"/>
    <tableColumn id="3" xr3:uid="{9733D35C-867E-4C4B-8F2B-E086ECB58CD3}" name="RP" dataDxfId="102" dataCellStyle="Normal 2"/>
    <tableColumn id="4" xr3:uid="{8749CE45-D3E3-463B-A943-59B6B0450B44}" name="RA" dataDxfId="101" dataCellStyle="Normal 2"/>
    <tableColumn id="5" xr3:uid="{CD462116-5E1B-4F25-96C0-8DB927D62FAD}" name="OCCUPANT DENSITY" dataDxfId="100" dataCellStyle="Normal 2"/>
    <tableColumn id="6" xr3:uid="{17ED933E-614D-45F6-B2C6-C5FD970DCCC2}" name="AIR CLASS" dataDxfId="99" dataCellStyle="Normal 2"/>
    <tableColumn id="7" xr3:uid="{8990C0AF-57F2-4ABC-A0E1-FC88BC4B024A}" name="OS" dataDxfId="98" dataCellStyle="Normal 2"/>
    <tableColumn id="10" xr3:uid="{2064FBAE-870A-46AE-9F8C-5F5DF7BCEC22}" name="0.5?" dataDxfId="97" dataCellStyle="Normal 2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3692C1-EB92-41FB-9444-5DAEF8591757}" name="ASHRAE_EA_Table" displayName="ASHRAE_EA_Table" ref="J1:N37" totalsRowShown="0" headerRowDxfId="96" dataDxfId="95" dataCellStyle="Normal 2">
  <autoFilter ref="J1:N37" xr:uid="{FC3692C1-EB92-41FB-9444-5DAEF8591757}"/>
  <tableColumns count="5">
    <tableColumn id="7" xr3:uid="{CA4FE357-07FF-4EBE-B427-878AF4AE4EB8}" name="Occupancy Category" dataDxfId="94" dataCellStyle="Normal 2"/>
    <tableColumn id="3" xr3:uid="{FF109B0F-3E01-4002-A883-C4CDF4B3E8CA}" name="EXHAUST RATE PER UNIT" dataDxfId="93" dataCellStyle="Normal 2"/>
    <tableColumn id="4" xr3:uid="{9EBCCC92-92E9-4FE1-B17B-CA56536298A4}" name="EXHAUST RATE PER AREA" dataDxfId="92" dataCellStyle="Normal 2"/>
    <tableColumn id="5" xr3:uid="{0075CAEE-1CDF-4D4F-8B21-A29737198283}" name="NOTES" dataDxfId="91" dataCellStyle="Normal 2"/>
    <tableColumn id="6" xr3:uid="{73E3E663-31ED-4991-8F25-4C660DE5C8CC}" name="AIR CLASS " dataDxfId="90" dataCellStyle="Normal 2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60740D-BD9A-4147-86D1-AFABBD69D2E1}" name="Table2" displayName="Table2" ref="Q2:Q13" totalsRowShown="0" headerRowDxfId="89">
  <autoFilter ref="Q2:Q13" xr:uid="{BD60740D-BD9A-4147-86D1-AFABBD69D2E1}"/>
  <tableColumns count="1">
    <tableColumn id="1" xr3:uid="{FDED133C-76E5-4E23-A613-5DC75197CA65}" name="TABLE 6-4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BCD89D-5B56-4998-B083-4FCF14F1FA0F}" name="DCV_noEArecovery" displayName="DCV_noEArecovery" ref="T2:W21" totalsRowShown="0">
  <autoFilter ref="T2:W21" xr:uid="{91BCD89D-5B56-4998-B083-4FCF14F1FA0F}"/>
  <sortState xmlns:xlrd2="http://schemas.microsoft.com/office/spreadsheetml/2017/richdata2" ref="T3:W21">
    <sortCondition ref="T2:T21"/>
  </sortState>
  <tableColumns count="4">
    <tableColumn id="1" xr3:uid="{25DCEDBD-0740-46FA-88B9-316FC6DBFAF9}" name="CLIMATE ZONE" dataDxfId="88"/>
    <tableColumn id="2" xr3:uid="{97A7DD64-F42F-409C-9690-E5E6E70CE28A}" name="199"/>
    <tableColumn id="3" xr3:uid="{DD53542A-4392-442F-ABF5-60D6494C4F8A}" name="399"/>
    <tableColumn id="4" xr3:uid="{466F8834-080D-42F7-BDB2-62CB3633E21D}" name="10000"/>
  </tableColumns>
  <tableStyleInfo name="TableStyleLight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C2C087A-08DC-4FD6-B685-146E8BAE6869}" name="DCV_EARecovery" displayName="DCV_EARecovery" ref="Y2:AB21" totalsRowShown="0">
  <autoFilter ref="Y2:AB21" xr:uid="{0C2C087A-08DC-4FD6-B685-146E8BAE6869}"/>
  <tableColumns count="4">
    <tableColumn id="1" xr3:uid="{CD175878-207D-4D5A-ADC1-7D8949DA051F}" name="CLIMATE ZONE" dataDxfId="87"/>
    <tableColumn id="2" xr3:uid="{DF8039F8-66C6-4554-9227-F904C421BA2C}" name="199"/>
    <tableColumn id="3" xr3:uid="{764DE124-FF35-40C0-A23B-F73087130A49}" name="399"/>
    <tableColumn id="4" xr3:uid="{86483C33-12F3-4F39-A88F-7899FC96A997}" name="10000"/>
  </tableColumns>
  <tableStyleInfo name="TableStyleLight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40C5B7-7ED8-1346-9688-BBD6F913E0FF}" name="Code_Table_4a" displayName="Code_Table_4a" ref="A1:J127" totalsRowShown="0" headerRowDxfId="86" tableBorderDxfId="85">
  <autoFilter ref="A1:J127" xr:uid="{4540C5B7-7ED8-1346-9688-BBD6F913E0FF}"/>
  <tableColumns count="10">
    <tableColumn id="1" xr3:uid="{7BF2CBE1-A9FA-634B-9D43-EBA146167592}" name="Area Designation" dataDxfId="84"/>
    <tableColumn id="2" xr3:uid="{1460B4E9-9118-944C-9857-493DDFFE200A}" name="Air Balance Rerationship to Adjacent Areas" dataDxfId="83"/>
    <tableColumn id="3" xr3:uid="{25BE9BDC-FBB0-7A47-894B-42F72D14066C}" name="Minimum Air Changes of Outdoor Air per Hour" dataDxfId="82"/>
    <tableColumn id="4" xr3:uid="{82F49D63-6B08-DA45-8A60-1FF0FD6AC5B9}" name="Minimum Total Air Changes per Hour" dataDxfId="81"/>
    <tableColumn id="5" xr3:uid="{4FDAD794-62F4-8F49-87E5-EA2422234CCC}" name="All Air Exhausted Directly To Outdoors_x000a_(j)" dataDxfId="80"/>
    <tableColumn id="6" xr3:uid="{B9C49FC8-C251-2342-AE20-E81B274FAA4A}" name="Air Recirculated by Means of Room Units (a)" dataDxfId="79"/>
    <tableColumn id="7" xr3:uid="{E57842AF-587D-1D42-B911-B576DF543C66}" name="Design Relative Humidity (k)%" dataDxfId="78"/>
    <tableColumn id="8" xr3:uid="{BE19DA4C-3671-2040-8AE0-8608C571F1B5}" name="MIN Design Temperature(l)" dataDxfId="77"/>
    <tableColumn id="10" xr3:uid="{40B13846-A1DF-B641-AA80-2CDFCA140F33}" name="MAX Design Temperature" dataDxfId="76"/>
    <tableColumn id="9" xr3:uid="{D8B11080-DB40-234A-BEF6-09CC488530B9}" name="Notes" dataDxfId="75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1EBB3C5-A6DE-4278-9D8D-908C9767EC33}" name="Table4" displayName="Table4" ref="G6:I51" totalsRowShown="0" headerRowDxfId="74">
  <autoFilter ref="G6:I51" xr:uid="{11EBB3C5-A6DE-4278-9D8D-908C9767EC33}"/>
  <tableColumns count="3">
    <tableColumn id="1" xr3:uid="{1BA7BAAD-B345-4E0C-8AA6-2C30414BEBD1}" name="FUNCTION"/>
    <tableColumn id="2" xr3:uid="{97D14912-68A1-48EA-86B0-CCEEA274AD89}" name="EXPANDED " dataDxfId="73"/>
    <tableColumn id="3" xr3:uid="{F093F7DE-6490-47E0-96D2-9341A8E6DF41}" name="DESCRIPTION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3-02-04T00:58:32.97" personId="{9818FCBF-2832-490A-8648-B86041484521}" id="{B37CAC9B-C8DA-454B-8E05-93926FDA1639}">
    <text>Replace this with the actual source</text>
  </threadedComment>
  <threadedComment ref="J9" dT="2024-02-28T03:15:53.60" personId="{9818FCBF-2832-490A-8648-B86041484521}" id="{62952E3A-2DE2-4635-BEFF-E53D7C9BD751}">
    <text>Does not consider the flow</text>
  </threadedComment>
  <threadedComment ref="J10" dT="2024-02-28T03:15:20.35" personId="{9818FCBF-2832-490A-8648-B86041484521}" id="{9499BA8A-1746-4DC5-8A7E-23F12BB01951}">
    <text>Considers the balance flow</text>
  </threadedComment>
  <threadedComment ref="B23" dT="2023-02-04T00:57:56.22" personId="{9818FCBF-2832-490A-8648-B86041484521}" id="{F7D0549E-4995-492F-A550-4FDEA7D3D767}">
    <text>PM to manually select various options. These options will be used in the generate email function.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Q3" dT="2023-01-20T02:10:44.44" personId="{4EB4B6F3-1969-DB48-B081-3832009A33BA}" id="{31EAC5C4-25A3-4A67-82D4-B042C37CCEA9}">
    <text xml:space="preserve">This is a manual number added here when the percent outside air needs to be increased. </text>
  </threadedComment>
  <threadedComment ref="B4" dT="2023-01-20T01:58:59.17" personId="{4EB4B6F3-1969-DB48-B081-3832009A33BA}" id="{A66CCCA1-94A6-43AC-922B-E9352551A14B}">
    <text>Import zone from Revit</text>
  </threadedComment>
  <threadedComment ref="C4" dT="2023-01-20T01:59:19.81" personId="{4EB4B6F3-1969-DB48-B081-3832009A33BA}" id="{BF83FFD4-DABD-4405-9220-3AA1B9C49690}">
    <text>Import room from Revit</text>
  </threadedComment>
  <threadedComment ref="D4" dT="2023-01-20T01:59:37.35" personId="{4EB4B6F3-1969-DB48-B081-3832009A33BA}" id="{75E461AD-46C1-4439-9A31-EA1A4EF9D6C2}">
    <text>Import room number from Revit</text>
  </threadedComment>
  <threadedComment ref="E4" dT="2023-01-20T01:59:56.66" personId="{4EB4B6F3-1969-DB48-B081-3832009A33BA}" id="{2FF02F18-3F27-400C-8051-1D6953C7273F}">
    <text>Import Area from Revit</text>
  </threadedComment>
  <threadedComment ref="F4" dT="2023-01-20T02:00:11.73" personId="{4EB4B6F3-1969-DB48-B081-3832009A33BA}" id="{989ED1B4-CAE6-409C-920C-C6CFEEE395A1}">
    <text>Import height from Revit</text>
  </threadedComment>
  <threadedComment ref="AM4" dT="2023-01-20T02:57:22.76" personId="{4EB4B6F3-1969-DB48-B081-3832009A33BA}" id="{3A8A7B81-F443-4A01-8322-316F92C363AC}">
    <text>This is by default equal to the calculated CFM. Go through this cell and make sure the supply CFM is correct. Check the OSA Percentage.</text>
  </threadedComment>
  <threadedComment ref="AN4" dT="2023-01-20T03:00:57.68" personId="{4EB4B6F3-1969-DB48-B081-3832009A33BA}" id="{BCF7DC4E-E914-468D-BDC2-C08877BB67B6}">
    <text>Input this manually depending on the transfer air requirements. Good practice to complete air balance drawing before editing this column.</text>
  </threadedComment>
  <threadedComment ref="AO4" dT="2023-01-20T03:01:25.80" personId="{4EB4B6F3-1969-DB48-B081-3832009A33BA}" id="{7F185DA6-DB3E-4BFB-B34A-655772AA1EE7}">
    <text xml:space="preserve">Usually automatic, but check and edit as necessary. </text>
  </threadedComment>
  <threadedComment ref="AR4" dT="2023-01-20T02:57:47.98" personId="{4EB4B6F3-1969-DB48-B081-3832009A33BA}" id="{2100AEBD-D5E7-4E2B-86D2-E5575750B200}">
    <text>All cells in this column must be green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1" dT="2023-01-20T03:02:14.75" personId="{4EB4B6F3-1969-DB48-B081-3832009A33BA}" id="{CEEA40B8-9803-45F9-9590-1EB56958D071}">
    <text>Increase or decrease number of rows in this table to match the number of zones.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E4" dT="2024-02-28T04:55:32.39" personId="{9818FCBF-2832-490A-8648-B86041484521}" id="{F4177687-8E80-4A6B-B057-68A653B66C78}">
    <text>Positive for positive
Negative value for negative pressurization</text>
  </threadedComment>
  <threadedComment ref="F4" dT="2023-04-25T00:29:13.68" personId="{9818FCBF-2832-490A-8648-B86041484521}" id="{4E5A4463-7793-4AC4-A59E-2608060717A3}">
    <text>Number of showers / toilets / urinals</text>
  </threadedComment>
  <threadedComment ref="W4" dT="2023-04-25T00:26:28.36" personId="{9818FCBF-2832-490A-8648-B86041484521}" id="{6AA7AC04-FAAA-4D66-BDEA-A5CAE99FC69E}">
    <text>Pick Based on the zone efficiency table in ASHRAE 62.1</text>
  </threadedComment>
  <threadedComment ref="AB18" dT="2024-02-28T04:54:53.71" personId="{9818FCBF-2832-490A-8648-B86041484521}" id="{13686920-EDD3-4F99-ACEB-4FD7EA2EE9CE}">
    <text>Only use this when you plan to have the sequence to support this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1" dT="2023-01-20T03:02:14.75" personId="{4EB4B6F3-1969-DB48-B081-3832009A33BA}" id="{8B74483E-F39A-48BC-9A4F-F2282AE37744}">
    <text>Increase or decrease number of rows in this table to match the number of zones.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D11" dT="2023-01-20T00:11:27.69" personId="{9818FCBF-2832-490A-8648-B86041484521}" id="{84D71866-A333-4CD0-9197-88E7042E5A29}">
    <text xml:space="preserve">This is desired room temperature. Input based on RFP or ASHRAE. </text>
  </threadedComment>
  <threadedComment ref="E11" dT="2023-01-20T00:11:36.80" personId="{9818FCBF-2832-490A-8648-B86041484521}" id="{437746F2-980E-42E9-9E62-943E879A051B}">
    <text xml:space="preserve">This is desired room temperature. Input based on RFP or ASHRAE. 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D5" dT="2024-03-03T01:38:12.17" personId="{9818FCBF-2832-490A-8648-B86041484521}" id="{6F767A3F-F52C-44D7-9F63-D60A46F3BF41}">
    <text xml:space="preserve">Positive for positive
Negative value for negative pressurization
</text>
  </threadedComment>
  <threadedComment ref="P5" dT="2023-04-05T23:02:22.87" personId="{9818FCBF-2832-490A-8648-B86041484521}" id="{9CA4B69A-D90F-4871-8F75-C811F2AC2E34}">
    <text>Select Value from ASHRAE Table 6-4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D11" dT="2023-01-20T00:11:27.69" personId="{9818FCBF-2832-490A-8648-B86041484521}" id="{E0601F33-184C-4984-A0E4-F32973E0C3DA}">
    <text xml:space="preserve">This is desired room temperature. Input based on RFP or ASHRAE. </text>
  </threadedComment>
  <threadedComment ref="E11" dT="2023-01-20T00:11:36.80" personId="{9818FCBF-2832-490A-8648-B86041484521}" id="{EFCFC2A7-092A-45A3-9C4B-3C27C4873A04}">
    <text xml:space="preserve">This is desired room temperature. Input based on RFP or ASHRAE. 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E31AA9A-4055-470D-9E7B-03948855BD29}">
  <we:reference id="wa104036095" version="1.1.0.0" store="en-US" storeType="OMEX"/>
  <we:alternateReferences>
    <we:reference id="WA104036095" version="1.1.0.0" store="WA10403609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s.office.com/r/P66hCumLFp" TargetMode="Externa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2.xml"/><Relationship Id="rId3" Type="http://schemas.openxmlformats.org/officeDocument/2006/relationships/drawing" Target="../drawings/drawing2.xml"/><Relationship Id="rId7" Type="http://schemas.openxmlformats.org/officeDocument/2006/relationships/comments" Target="../comments2.xml"/><Relationship Id="rId2" Type="http://schemas.openxmlformats.org/officeDocument/2006/relationships/printerSettings" Target="../printerSettings/printerSettings2.bin"/><Relationship Id="rId1" Type="http://schemas.openxmlformats.org/officeDocument/2006/relationships/externalLinkPath" Target="/Users/rush/Downloads/Revamped%20AHU%20Psych%20Calcs%20(1).xlsm" TargetMode="External"/><Relationship Id="rId6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.vml"/><Relationship Id="rId4" Type="http://schemas.microsoft.com/office/2017/10/relationships/threadedComment" Target="../threadedComments/threadedComment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microsoft.com/office/2017/10/relationships/threadedComment" Target="../threadedComments/threadedComment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4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5.vml"/><Relationship Id="rId4" Type="http://schemas.microsoft.com/office/2017/10/relationships/threadedComment" Target="../threadedComments/threadedComment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4.xml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5.xml"/><Relationship Id="rId6" Type="http://schemas.microsoft.com/office/2017/10/relationships/threadedComment" Target="../threadedComments/threadedComment7.xml"/><Relationship Id="rId5" Type="http://schemas.openxmlformats.org/officeDocument/2006/relationships/comments" Target="../comments7.xml"/><Relationship Id="rId4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8.xml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up.codes/viewer/california/ca-mechanical-code-2022/chapter/2/definitions" TargetMode="External"/><Relationship Id="rId7" Type="http://schemas.openxmlformats.org/officeDocument/2006/relationships/table" Target="../tables/table19.xml"/><Relationship Id="rId2" Type="http://schemas.openxmlformats.org/officeDocument/2006/relationships/hyperlink" Target="https://up.codes/viewer/california/ca-mechanical-code-2022/chapter/2/definitions" TargetMode="External"/><Relationship Id="rId1" Type="http://schemas.openxmlformats.org/officeDocument/2006/relationships/hyperlink" Target="https://up.codes/viewer/california/ca-mechanical-code-2022/chapter/2/definitions" TargetMode="External"/><Relationship Id="rId6" Type="http://schemas.openxmlformats.org/officeDocument/2006/relationships/printerSettings" Target="../printerSettings/printerSettings8.bin"/><Relationship Id="rId5" Type="http://schemas.openxmlformats.org/officeDocument/2006/relationships/hyperlink" Target="https://up.codes/viewer/california/ca-mechanical-code-2022/chapter/2/definitions" TargetMode="External"/><Relationship Id="rId4" Type="http://schemas.openxmlformats.org/officeDocument/2006/relationships/hyperlink" Target="https://up.codes/viewer/california/ca-mechanical-code-2022/chapter/2/definitions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>
    <tabColor theme="2"/>
  </sheetPr>
  <dimension ref="B2:Y28"/>
  <sheetViews>
    <sheetView showGridLines="0" showRowColHeaders="0" zoomScale="92" zoomScaleNormal="117" workbookViewId="0">
      <selection activeCell="K11" sqref="K11"/>
    </sheetView>
  </sheetViews>
  <sheetFormatPr defaultColWidth="8.88671875" defaultRowHeight="13.2"/>
  <cols>
    <col min="1" max="1" width="3.88671875" customWidth="1"/>
    <col min="2" max="2" width="17" customWidth="1"/>
    <col min="3" max="3" width="11.44140625" customWidth="1"/>
    <col min="4" max="4" width="21" customWidth="1"/>
    <col min="5" max="5" width="12.6640625" customWidth="1"/>
    <col min="6" max="6" width="9.6640625" customWidth="1"/>
    <col min="7" max="7" width="11.44140625" customWidth="1"/>
    <col min="8" max="8" width="11" customWidth="1"/>
    <col min="9" max="9" width="9.44140625" customWidth="1"/>
    <col min="10" max="10" width="12.44140625" bestFit="1" customWidth="1"/>
    <col min="11" max="14" width="9.44140625" customWidth="1"/>
    <col min="15" max="16" width="10.44140625" customWidth="1"/>
    <col min="17" max="17" width="13.44140625" bestFit="1" customWidth="1"/>
    <col min="18" max="18" width="11.5546875" bestFit="1" customWidth="1"/>
    <col min="19" max="19" width="10.33203125" customWidth="1"/>
    <col min="20" max="20" width="9.44140625" bestFit="1" customWidth="1"/>
    <col min="22" max="24" width="8.88671875" hidden="1" customWidth="1"/>
    <col min="25" max="25" width="32.109375" hidden="1" customWidth="1"/>
  </cols>
  <sheetData>
    <row r="2" spans="2:25">
      <c r="B2" s="28" t="s">
        <v>109</v>
      </c>
      <c r="C2" s="333" t="s">
        <v>110</v>
      </c>
      <c r="D2" s="334"/>
      <c r="E2" s="28" t="s">
        <v>111</v>
      </c>
      <c r="F2" s="335"/>
      <c r="G2" s="334"/>
    </row>
    <row r="3" spans="2:25">
      <c r="B3" s="11"/>
      <c r="C3" s="27"/>
      <c r="D3" s="27"/>
      <c r="V3" s="11" t="s">
        <v>112</v>
      </c>
      <c r="W3" s="11" t="s">
        <v>113</v>
      </c>
      <c r="X3" s="11" t="s">
        <v>114</v>
      </c>
      <c r="Y3" s="11" t="s">
        <v>115</v>
      </c>
    </row>
    <row r="4" spans="2:25">
      <c r="B4" s="336" t="s">
        <v>116</v>
      </c>
      <c r="C4" s="337"/>
      <c r="D4" s="337"/>
      <c r="E4" s="337"/>
      <c r="F4" s="337"/>
      <c r="G4" s="338"/>
      <c r="J4" s="339" t="s">
        <v>117</v>
      </c>
      <c r="K4" s="339"/>
      <c r="L4" s="339"/>
      <c r="V4" s="11" t="s">
        <v>49</v>
      </c>
      <c r="W4" s="11" t="s">
        <v>118</v>
      </c>
      <c r="X4" s="11" t="s">
        <v>119</v>
      </c>
      <c r="Y4" s="11" t="s">
        <v>120</v>
      </c>
    </row>
    <row r="5" spans="2:25">
      <c r="B5" s="340" t="s">
        <v>121</v>
      </c>
      <c r="C5" s="340"/>
      <c r="D5" s="340"/>
      <c r="E5" s="340"/>
      <c r="F5" s="340"/>
      <c r="G5" s="340"/>
      <c r="S5" s="11"/>
      <c r="W5" s="11" t="s">
        <v>122</v>
      </c>
      <c r="X5" s="11" t="s">
        <v>123</v>
      </c>
    </row>
    <row r="6" spans="2:25">
      <c r="B6" s="122" t="s">
        <v>124</v>
      </c>
      <c r="C6" s="310">
        <v>7</v>
      </c>
      <c r="D6" s="3"/>
      <c r="E6" s="341" t="s">
        <v>126</v>
      </c>
      <c r="F6" s="342"/>
      <c r="G6" s="123">
        <v>2000</v>
      </c>
      <c r="J6" s="330" t="s">
        <v>127</v>
      </c>
      <c r="K6" s="331"/>
      <c r="L6" s="332"/>
      <c r="S6" s="11"/>
      <c r="X6" s="11" t="s">
        <v>128</v>
      </c>
    </row>
    <row r="7" spans="2:25">
      <c r="B7" s="339" t="s">
        <v>129</v>
      </c>
      <c r="C7" s="339"/>
      <c r="D7" s="339"/>
      <c r="E7" s="339" t="s">
        <v>130</v>
      </c>
      <c r="F7" s="339"/>
      <c r="G7" s="339"/>
      <c r="J7" s="24" t="s">
        <v>131</v>
      </c>
      <c r="K7" s="25">
        <f>AHU_Schedules[[#Totals],[(Tons)34]]</f>
        <v>0</v>
      </c>
      <c r="L7" s="26" t="s">
        <v>132</v>
      </c>
      <c r="X7" s="11" t="s">
        <v>133</v>
      </c>
    </row>
    <row r="8" spans="2:25">
      <c r="B8" s="323" t="s">
        <v>134</v>
      </c>
      <c r="C8" s="123">
        <v>90</v>
      </c>
      <c r="D8" s="122" t="s">
        <v>135</v>
      </c>
      <c r="E8" s="323" t="s">
        <v>136</v>
      </c>
      <c r="F8" s="324">
        <v>20</v>
      </c>
      <c r="G8" s="323" t="s">
        <v>137</v>
      </c>
      <c r="J8" s="24" t="s">
        <v>138</v>
      </c>
      <c r="K8" s="25">
        <f>AHU_Schedules[[#Totals],[GPM MAX]]</f>
        <v>0</v>
      </c>
      <c r="L8" s="26" t="s">
        <v>139</v>
      </c>
      <c r="X8" s="11" t="s">
        <v>140</v>
      </c>
    </row>
    <row r="9" spans="2:25">
      <c r="B9" s="323"/>
      <c r="C9" s="123">
        <v>65</v>
      </c>
      <c r="D9" s="122" t="s">
        <v>141</v>
      </c>
      <c r="E9" s="323"/>
      <c r="F9" s="325"/>
      <c r="G9" s="323"/>
      <c r="J9" s="24" t="s">
        <v>145</v>
      </c>
      <c r="K9" s="25">
        <f>AHU_Schedules[[#Totals],[(mbh)46]]</f>
        <v>0</v>
      </c>
      <c r="L9" s="26" t="s">
        <v>146</v>
      </c>
      <c r="X9" s="11" t="s">
        <v>142</v>
      </c>
    </row>
    <row r="10" spans="2:25">
      <c r="B10" s="323" t="s">
        <v>143</v>
      </c>
      <c r="C10" s="124">
        <v>80</v>
      </c>
      <c r="D10" s="122" t="s">
        <v>137</v>
      </c>
      <c r="E10" s="323" t="s">
        <v>144</v>
      </c>
      <c r="F10" s="123"/>
      <c r="G10" s="122" t="s">
        <v>137</v>
      </c>
      <c r="J10" s="24" t="s">
        <v>148</v>
      </c>
      <c r="K10" s="25">
        <f>AHU_Schedules[[#Totals],[(˚F db)46]]</f>
        <v>0</v>
      </c>
      <c r="L10" s="26" t="s">
        <v>139</v>
      </c>
    </row>
    <row r="11" spans="2:25">
      <c r="B11" s="323"/>
      <c r="C11" s="124">
        <v>75</v>
      </c>
      <c r="D11" s="122" t="s">
        <v>141</v>
      </c>
      <c r="E11" s="323"/>
      <c r="F11" s="123"/>
      <c r="G11" s="122" t="s">
        <v>147</v>
      </c>
    </row>
    <row r="12" spans="2:25">
      <c r="B12" s="2"/>
      <c r="D12" s="3"/>
      <c r="E12" s="3"/>
      <c r="J12" s="16"/>
      <c r="K12" s="16"/>
      <c r="L12" s="16"/>
    </row>
    <row r="13" spans="2:25">
      <c r="B13" s="339" t="s">
        <v>149</v>
      </c>
      <c r="C13" s="339"/>
      <c r="D13" s="339"/>
    </row>
    <row r="14" spans="2:25">
      <c r="B14" s="125" t="s">
        <v>150</v>
      </c>
      <c r="C14" s="124">
        <v>42</v>
      </c>
      <c r="D14" s="122" t="s">
        <v>151</v>
      </c>
    </row>
    <row r="15" spans="2:25">
      <c r="B15" s="125" t="s">
        <v>152</v>
      </c>
      <c r="C15" s="124">
        <v>56</v>
      </c>
      <c r="D15" s="122" t="s">
        <v>151</v>
      </c>
    </row>
    <row r="16" spans="2:25">
      <c r="B16" s="125" t="s">
        <v>153</v>
      </c>
      <c r="C16" s="124">
        <v>140</v>
      </c>
      <c r="D16" s="122" t="s">
        <v>151</v>
      </c>
    </row>
    <row r="17" spans="2:21">
      <c r="B17" s="125" t="s">
        <v>154</v>
      </c>
      <c r="C17" s="124">
        <v>110</v>
      </c>
      <c r="D17" s="122" t="s">
        <v>151</v>
      </c>
    </row>
    <row r="18" spans="2:21">
      <c r="B18" s="125" t="s">
        <v>155</v>
      </c>
      <c r="C18" s="126">
        <v>1.2</v>
      </c>
      <c r="D18" s="122" t="s">
        <v>156</v>
      </c>
    </row>
    <row r="19" spans="2:21">
      <c r="B19" s="125" t="s">
        <v>157</v>
      </c>
      <c r="C19" s="126"/>
      <c r="D19" s="122" t="s">
        <v>158</v>
      </c>
      <c r="H19" s="16"/>
      <c r="I19" s="16"/>
      <c r="J19" s="16"/>
      <c r="K19" s="16"/>
      <c r="L19" s="16"/>
    </row>
    <row r="20" spans="2:21">
      <c r="H20" s="16"/>
      <c r="I20" s="16"/>
      <c r="J20" s="329" t="s">
        <v>159</v>
      </c>
      <c r="K20" s="329"/>
      <c r="L20" s="16"/>
    </row>
    <row r="21" spans="2:21">
      <c r="H21" s="16"/>
      <c r="I21" s="16"/>
      <c r="J21" s="16"/>
      <c r="K21" s="16"/>
      <c r="L21" s="16"/>
    </row>
    <row r="23" spans="2:21">
      <c r="B23" s="326" t="s">
        <v>160</v>
      </c>
      <c r="C23" s="327"/>
      <c r="D23" s="327"/>
      <c r="E23" s="327"/>
      <c r="F23" s="327"/>
      <c r="G23" s="327"/>
      <c r="H23" s="327"/>
      <c r="I23" s="327"/>
      <c r="J23" s="327"/>
      <c r="K23" s="327"/>
      <c r="L23" s="327"/>
      <c r="M23" s="327"/>
      <c r="N23" s="327"/>
      <c r="O23" s="327"/>
      <c r="P23" s="327"/>
      <c r="Q23" s="327"/>
      <c r="R23" s="327"/>
      <c r="S23" s="327"/>
      <c r="T23" s="328"/>
    </row>
    <row r="24" spans="2:21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</row>
    <row r="25" spans="2:21" ht="20.399999999999999">
      <c r="B25" s="32" t="s">
        <v>161</v>
      </c>
      <c r="C25" s="30" t="s">
        <v>162</v>
      </c>
      <c r="D25" s="30" t="s">
        <v>163</v>
      </c>
      <c r="E25" s="30" t="s">
        <v>164</v>
      </c>
      <c r="F25" s="30" t="s">
        <v>165</v>
      </c>
      <c r="G25" s="30" t="s">
        <v>166</v>
      </c>
      <c r="H25" s="30" t="s">
        <v>167</v>
      </c>
      <c r="I25" s="30" t="s">
        <v>168</v>
      </c>
      <c r="J25" s="30" t="s">
        <v>169</v>
      </c>
      <c r="K25" s="30" t="s">
        <v>170</v>
      </c>
      <c r="L25" s="30" t="s">
        <v>171</v>
      </c>
      <c r="M25" s="30" t="s">
        <v>172</v>
      </c>
      <c r="N25" s="30" t="s">
        <v>173</v>
      </c>
      <c r="O25" s="30" t="s">
        <v>174</v>
      </c>
      <c r="P25" s="30" t="s">
        <v>175</v>
      </c>
      <c r="Q25" s="30" t="s">
        <v>176</v>
      </c>
      <c r="R25" s="30" t="s">
        <v>177</v>
      </c>
      <c r="S25" s="30" t="s">
        <v>178</v>
      </c>
      <c r="T25" s="31" t="s">
        <v>179</v>
      </c>
      <c r="U25" s="30" t="s">
        <v>742</v>
      </c>
    </row>
    <row r="26" spans="2:21">
      <c r="B26" s="304"/>
      <c r="C26" s="305"/>
      <c r="D26" s="305"/>
      <c r="E26" s="306"/>
      <c r="F26" s="305"/>
      <c r="G26" s="306"/>
      <c r="H26" s="306"/>
      <c r="I26" s="306"/>
      <c r="J26" s="306"/>
      <c r="K26" s="306"/>
      <c r="L26" s="306"/>
      <c r="M26" s="306"/>
      <c r="N26" s="306"/>
      <c r="O26" s="306"/>
      <c r="P26" s="306"/>
      <c r="Q26" s="306"/>
      <c r="R26" s="306"/>
      <c r="S26" s="306"/>
      <c r="T26" s="307"/>
      <c r="U26" s="308"/>
    </row>
    <row r="28" spans="2:21">
      <c r="B28">
        <v>1</v>
      </c>
      <c r="C28">
        <v>2</v>
      </c>
      <c r="D28">
        <v>3</v>
      </c>
      <c r="E28">
        <v>4</v>
      </c>
      <c r="F28">
        <v>5</v>
      </c>
      <c r="G28">
        <v>6</v>
      </c>
      <c r="H28">
        <v>7</v>
      </c>
      <c r="I28">
        <v>8</v>
      </c>
      <c r="J28">
        <v>9</v>
      </c>
      <c r="K28">
        <v>10</v>
      </c>
      <c r="L28">
        <v>11</v>
      </c>
      <c r="M28">
        <v>12</v>
      </c>
      <c r="N28">
        <v>13</v>
      </c>
      <c r="O28">
        <v>14</v>
      </c>
      <c r="P28">
        <v>15</v>
      </c>
      <c r="Q28">
        <v>16</v>
      </c>
      <c r="R28">
        <v>17</v>
      </c>
      <c r="S28">
        <v>18</v>
      </c>
      <c r="T28">
        <v>19</v>
      </c>
      <c r="U28">
        <v>20</v>
      </c>
    </row>
  </sheetData>
  <mergeCells count="18"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  <mergeCell ref="E6:F6"/>
    <mergeCell ref="E10:E11"/>
    <mergeCell ref="F8:F9"/>
    <mergeCell ref="B23:T23"/>
    <mergeCell ref="J20:K20"/>
    <mergeCell ref="J6:L6"/>
  </mergeCells>
  <phoneticPr fontId="9" type="noConversion"/>
  <dataValidations count="7">
    <dataValidation type="decimal" operator="lessThanOrEqual" allowBlank="1" showInputMessage="1" showErrorMessage="1" sqref="C8:C11 F8:F11" xr:uid="{B46BD661-27D5-EA4A-98D9-A97E7ED39DFB}">
      <formula1>600</formula1>
    </dataValidation>
    <dataValidation type="whole" operator="lessThanOrEqual" allowBlank="1" showInputMessage="1" showErrorMessage="1" sqref="C14:C17" xr:uid="{74E3A6C0-DA95-3548-BE04-1A70A06AA0B7}">
      <formula1>600</formula1>
    </dataValidation>
    <dataValidation type="whole" operator="greaterThan" allowBlank="1" showInputMessage="1" showErrorMessage="1" sqref="G6" xr:uid="{0EEAE432-7AE5-4E19-99A0-476DD6038212}">
      <formula1>-1</formula1>
    </dataValidation>
    <dataValidation type="list" allowBlank="1" showInputMessage="1" showErrorMessage="1" sqref="R26:U26 E26:O26" xr:uid="{57127854-0033-9F43-9FDF-126419A3E943}">
      <formula1>$V$3:$V$4</formula1>
    </dataValidation>
    <dataValidation type="list" allowBlank="1" showInputMessage="1" showErrorMessage="1" sqref="C26:D26" xr:uid="{752016F0-3485-7D46-A297-38E9578FC1FD}">
      <formula1>$W$3:$W$5</formula1>
    </dataValidation>
    <dataValidation type="list" allowBlank="1" showInputMessage="1" showErrorMessage="1" sqref="P26" xr:uid="{69929419-8A96-0A4C-BC33-A3DDB95DC281}">
      <formula1>$X$3:$X$6</formula1>
    </dataValidation>
    <dataValidation type="list" allowBlank="1" showInputMessage="1" showErrorMessage="1" sqref="Q26" xr:uid="{7B4C686C-BBBC-D948-B85E-80E76ED94999}">
      <formula1>$X$7:$X$9</formula1>
    </dataValidation>
  </dataValidations>
  <hyperlinks>
    <hyperlink ref="J20" r:id="rId1" display="SURVEY" xr:uid="{85CD794C-812E-4F58-88D3-ACECA4BCAFD1}"/>
  </hyperlinks>
  <pageMargins left="0.7" right="0.7" top="0.75" bottom="0.75" header="0.3" footer="0.3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1" r:id="rId5" name="Button 11">
              <controlPr defaultSize="0" print="0" autoFill="0" autoPict="0" macro="[0]!main" altText="HUMIDIFICATION">
                <anchor moveWithCells="1" sizeWithCells="1">
                  <from>
                    <xdr:col>12</xdr:col>
                    <xdr:colOff>426720</xdr:colOff>
                    <xdr:row>2</xdr:row>
                    <xdr:rowOff>114300</xdr:rowOff>
                  </from>
                  <to>
                    <xdr:col>14</xdr:col>
                    <xdr:colOff>457200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4712E79-1CC0-4B34-AE6D-AA6447E4CFD4}">
          <x14:formula1>
            <xm:f>'ASHRAE Table'!$T$3:$T$21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0EF80-512B-4FB0-B0D3-86BAFF8103BA}">
  <sheetPr codeName="Sheet12">
    <tabColor rgb="FFFFFF00"/>
    <pageSetUpPr fitToPage="1"/>
  </sheetPr>
  <dimension ref="A3:BM102"/>
  <sheetViews>
    <sheetView showGridLines="0" zoomScale="70" zoomScaleNormal="70" zoomScaleSheetLayoutView="50" zoomScalePageLayoutView="80" workbookViewId="0">
      <pane xSplit="7" ySplit="4" topLeftCell="H5" activePane="bottomRight" state="frozen"/>
      <selection pane="topRight" activeCell="H1" sqref="H1"/>
      <selection pane="bottomLeft" activeCell="A3" sqref="A3"/>
      <selection pane="bottomRight" activeCell="I20" sqref="I20"/>
    </sheetView>
  </sheetViews>
  <sheetFormatPr defaultColWidth="8.88671875" defaultRowHeight="15"/>
  <cols>
    <col min="1" max="1" width="2.88671875" style="33" customWidth="1"/>
    <col min="2" max="2" width="12.6640625" style="33" customWidth="1"/>
    <col min="3" max="3" width="9.88671875" style="34" bestFit="1" customWidth="1"/>
    <col min="4" max="4" width="14" style="35" bestFit="1" customWidth="1"/>
    <col min="5" max="5" width="16" style="34" bestFit="1" customWidth="1"/>
    <col min="6" max="6" width="9.88671875" style="34" bestFit="1" customWidth="1"/>
    <col min="7" max="7" width="12.6640625" style="33" hidden="1" customWidth="1"/>
    <col min="8" max="8" width="20.6640625" style="36" bestFit="1" customWidth="1"/>
    <col min="9" max="9" width="20.6640625" style="36" customWidth="1"/>
    <col min="10" max="10" width="15.88671875" style="33" customWidth="1"/>
    <col min="11" max="11" width="34.88671875" style="33" bestFit="1" customWidth="1"/>
    <col min="12" max="12" width="34.88671875" style="36" bestFit="1" customWidth="1"/>
    <col min="13" max="13" width="29.109375" style="33" bestFit="1" customWidth="1"/>
    <col min="14" max="14" width="30.6640625" style="33" customWidth="1"/>
    <col min="15" max="16" width="25.88671875" style="36" bestFit="1" customWidth="1"/>
    <col min="17" max="17" width="25.88671875" style="33" bestFit="1" customWidth="1"/>
    <col min="18" max="18" width="17.6640625" style="33" bestFit="1" customWidth="1"/>
    <col min="19" max="19" width="23.6640625" style="33" bestFit="1" customWidth="1"/>
    <col min="20" max="20" width="23.33203125" style="36" bestFit="1" customWidth="1"/>
    <col min="21" max="21" width="63" style="36" bestFit="1" customWidth="1"/>
    <col min="22" max="22" width="19.109375" style="34" bestFit="1" customWidth="1"/>
    <col min="23" max="23" width="16.6640625" style="36" bestFit="1" customWidth="1"/>
    <col min="24" max="24" width="18" style="37" customWidth="1"/>
    <col min="25" max="25" width="19.109375" style="33" bestFit="1" customWidth="1"/>
    <col min="26" max="26" width="19.6640625" style="34" customWidth="1"/>
    <col min="27" max="27" width="20.44140625" style="34" customWidth="1"/>
    <col min="28" max="28" width="21.88671875" style="34" bestFit="1" customWidth="1"/>
    <col min="29" max="29" width="22.44140625" style="34" bestFit="1" customWidth="1"/>
    <col min="30" max="30" width="13.33203125" style="34" bestFit="1" customWidth="1"/>
    <col min="31" max="31" width="18.44140625" style="38" bestFit="1" customWidth="1"/>
    <col min="32" max="32" width="22" style="38" bestFit="1" customWidth="1"/>
    <col min="33" max="33" width="17.44140625" style="38" customWidth="1"/>
    <col min="34" max="34" width="18.88671875" style="39" customWidth="1"/>
    <col min="35" max="35" width="16" style="39" customWidth="1"/>
    <col min="36" max="36" width="20" style="39" bestFit="1" customWidth="1"/>
    <col min="37" max="38" width="21" style="33" customWidth="1"/>
    <col min="39" max="39" width="19.5546875" style="33" customWidth="1"/>
    <col min="40" max="40" width="16.6640625" style="33" customWidth="1"/>
    <col min="41" max="41" width="19.33203125" style="33" bestFit="1" customWidth="1"/>
    <col min="42" max="42" width="14.21875" style="33" bestFit="1" customWidth="1"/>
    <col min="43" max="43" width="13.5546875" style="33" bestFit="1" customWidth="1"/>
    <col min="44" max="44" width="12.109375" style="33" bestFit="1" customWidth="1"/>
    <col min="45" max="45" width="15" style="33" bestFit="1" customWidth="1"/>
    <col min="46" max="46" width="15.6640625" style="33" bestFit="1" customWidth="1"/>
    <col min="47" max="47" width="14.5546875" style="33" bestFit="1" customWidth="1"/>
    <col min="48" max="48" width="18.33203125" style="33" bestFit="1" customWidth="1"/>
    <col min="49" max="49" width="13.44140625" style="33" bestFit="1" customWidth="1"/>
    <col min="50" max="50" width="14.6640625" style="33" bestFit="1" customWidth="1"/>
    <col min="51" max="51" width="32.109375" style="33" bestFit="1" customWidth="1"/>
    <col min="52" max="52" width="12.44140625" style="33" bestFit="1" customWidth="1"/>
    <col min="53" max="53" width="24.21875" style="33" bestFit="1" customWidth="1"/>
    <col min="54" max="54" width="14.44140625" style="33" bestFit="1" customWidth="1"/>
    <col min="55" max="55" width="12.21875" style="33" bestFit="1" customWidth="1"/>
    <col min="56" max="56" width="8.88671875" style="33" customWidth="1"/>
    <col min="57" max="16384" width="8.88671875" style="33"/>
  </cols>
  <sheetData>
    <row r="3" spans="1:65" ht="15.6">
      <c r="B3" s="344" t="s">
        <v>2</v>
      </c>
      <c r="C3" s="345"/>
      <c r="D3" s="345"/>
      <c r="E3" s="345"/>
      <c r="F3" s="345"/>
      <c r="G3" s="345"/>
      <c r="H3" s="346"/>
      <c r="I3" s="92"/>
      <c r="J3" s="97"/>
      <c r="K3" s="343" t="s">
        <v>3</v>
      </c>
      <c r="L3" s="343"/>
      <c r="M3" s="343"/>
      <c r="N3" s="343"/>
      <c r="O3" s="343"/>
      <c r="P3" s="343"/>
      <c r="Q3" s="343"/>
      <c r="R3" s="343"/>
      <c r="S3" s="343" t="s">
        <v>4</v>
      </c>
      <c r="T3" s="343"/>
      <c r="U3" s="343"/>
      <c r="V3" s="343"/>
      <c r="W3" s="343"/>
      <c r="X3" s="343"/>
      <c r="Y3" s="343"/>
      <c r="Z3" s="343"/>
      <c r="AA3" s="343"/>
      <c r="AB3" s="343"/>
      <c r="AC3" s="343"/>
      <c r="AD3" s="343"/>
      <c r="AE3" s="343"/>
      <c r="AF3" s="343"/>
      <c r="AG3" s="343"/>
      <c r="AH3" s="343"/>
      <c r="AI3" s="343"/>
      <c r="AJ3" s="343"/>
      <c r="AO3" s="316" t="s">
        <v>753</v>
      </c>
      <c r="AP3" s="317">
        <f ca="1">((TABLE4A4398[[#Totals],[DESIGN OA (CFM)]]+AQ3)/TABLE4A4398[[#Totals],[DESIGN SA (CFM)]])</f>
        <v>0.34</v>
      </c>
      <c r="AQ3" s="347">
        <v>0</v>
      </c>
      <c r="AR3" s="347"/>
    </row>
    <row r="4" spans="1:65" s="41" customFormat="1" ht="53.1" customHeight="1">
      <c r="A4" s="40"/>
      <c r="B4" s="80" t="s">
        <v>5</v>
      </c>
      <c r="C4" s="81" t="s">
        <v>6</v>
      </c>
      <c r="D4" s="82" t="s">
        <v>7</v>
      </c>
      <c r="E4" s="82" t="s">
        <v>8</v>
      </c>
      <c r="F4" s="82" t="s">
        <v>9</v>
      </c>
      <c r="G4" s="83" t="s">
        <v>10</v>
      </c>
      <c r="H4" s="83" t="s">
        <v>11</v>
      </c>
      <c r="I4" s="82" t="s">
        <v>12</v>
      </c>
      <c r="J4" s="82" t="s">
        <v>13</v>
      </c>
      <c r="K4" s="82" t="s">
        <v>14</v>
      </c>
      <c r="L4" s="82" t="s">
        <v>15</v>
      </c>
      <c r="M4" s="82" t="s">
        <v>16</v>
      </c>
      <c r="N4" s="82" t="s">
        <v>17</v>
      </c>
      <c r="O4" s="82" t="s">
        <v>18</v>
      </c>
      <c r="P4" s="82" t="s">
        <v>19</v>
      </c>
      <c r="Q4" s="82" t="s">
        <v>20</v>
      </c>
      <c r="R4" s="82" t="s">
        <v>21</v>
      </c>
      <c r="S4" s="82" t="s">
        <v>22</v>
      </c>
      <c r="T4" s="83" t="s">
        <v>23</v>
      </c>
      <c r="U4" s="82" t="s">
        <v>24</v>
      </c>
      <c r="V4" s="82" t="s">
        <v>25</v>
      </c>
      <c r="W4" s="82" t="s">
        <v>26</v>
      </c>
      <c r="X4" s="82" t="s">
        <v>27</v>
      </c>
      <c r="Y4" s="82" t="s">
        <v>28</v>
      </c>
      <c r="Z4" s="82" t="s">
        <v>29</v>
      </c>
      <c r="AA4" s="82" t="s">
        <v>30</v>
      </c>
      <c r="AB4" s="82" t="s">
        <v>31</v>
      </c>
      <c r="AC4" s="82" t="s">
        <v>32</v>
      </c>
      <c r="AD4" s="82" t="s">
        <v>33</v>
      </c>
      <c r="AE4" s="82" t="s">
        <v>34</v>
      </c>
      <c r="AF4" s="82" t="s">
        <v>35</v>
      </c>
      <c r="AG4" s="82" t="s">
        <v>36</v>
      </c>
      <c r="AH4" s="82" t="s">
        <v>37</v>
      </c>
      <c r="AI4" s="82" t="s">
        <v>38</v>
      </c>
      <c r="AJ4" s="82" t="s">
        <v>39</v>
      </c>
      <c r="AK4" s="82" t="s">
        <v>678</v>
      </c>
      <c r="AL4" s="82" t="s">
        <v>40</v>
      </c>
      <c r="AM4" s="82" t="s">
        <v>679</v>
      </c>
      <c r="AN4" s="82" t="s">
        <v>95</v>
      </c>
      <c r="AO4" s="82" t="s">
        <v>680</v>
      </c>
      <c r="AP4" s="82" t="s">
        <v>41</v>
      </c>
      <c r="AQ4" s="82" t="s">
        <v>42</v>
      </c>
      <c r="AR4" s="82" t="s">
        <v>43</v>
      </c>
      <c r="AS4" s="82" t="s">
        <v>44</v>
      </c>
      <c r="AT4" s="84" t="s">
        <v>45</v>
      </c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</row>
    <row r="5" spans="1:65" ht="15" customHeight="1">
      <c r="B5" s="78" t="s">
        <v>65</v>
      </c>
      <c r="C5" s="98" t="s">
        <v>46</v>
      </c>
      <c r="D5" s="98">
        <v>1234</v>
      </c>
      <c r="E5" s="98">
        <v>500</v>
      </c>
      <c r="F5" s="98">
        <v>10</v>
      </c>
      <c r="G5" s="96" t="str">
        <f>VLOOKUP($K5,'UMC Table 4-A'!$A$2:$E$132,5,FALSE)</f>
        <v>NR</v>
      </c>
      <c r="H5" s="98">
        <v>200</v>
      </c>
      <c r="I5" s="98">
        <v>250</v>
      </c>
      <c r="J5" s="96">
        <f t="shared" ref="J5" si="0">IF(OR((K5="PATIENT CORRIDOR"),(K5="TOILET")),(E5*0.5),E5)</f>
        <v>500</v>
      </c>
      <c r="K5" s="98" t="s">
        <v>517</v>
      </c>
      <c r="L5" s="96" t="str">
        <f>VLOOKUP($K5,'UMC Table 4-A'!$A$2:$E$132,2,FALSE)</f>
        <v>NR</v>
      </c>
      <c r="M5" s="96">
        <f>VLOOKUP($K5,'UMC Table 4-A'!$A$2:$E$132,3,FALSE)</f>
        <v>2</v>
      </c>
      <c r="N5" s="99">
        <f>IF(TABLE4A4398[[#This Row],[FUNCTION OR SPACE]]="NOT PER TABLE 4A","NA",IF(M5&lt;&gt;"NR",ROUNDUP((E5*F5*M5)/60,-1),0))</f>
        <v>170</v>
      </c>
      <c r="O5" s="96">
        <f>VLOOKUP($K5,'UMC Table 4-A'!$A$2:$E$132,4,FALSE)</f>
        <v>4</v>
      </c>
      <c r="P5" s="96">
        <f>IF(TABLE4A4398[[#This Row],[FUNCTION OR SPACE]]="NOT PER TABLE 4A","NA",IF(O5&lt;&gt;"NR",ROUNDUP((E5*F5*O5)/60,-1),0))</f>
        <v>340</v>
      </c>
      <c r="Q5" s="96" t="str">
        <f>VLOOKUP($K5,'UMC Table 4-A'!$A$2:$E$132,5,FALSE)</f>
        <v>NR</v>
      </c>
      <c r="R5" s="96">
        <f>IF(G5="Yes",P5,0)</f>
        <v>0</v>
      </c>
      <c r="S5" s="98" t="s">
        <v>48</v>
      </c>
      <c r="T5" s="98">
        <v>0</v>
      </c>
      <c r="U5" s="98" t="s">
        <v>48</v>
      </c>
      <c r="V5" s="96" t="str">
        <f>IF(TABLE4A4398[[#This Row],[FUNCTION OR SPACE]]="NOT PER TABLE 4A",VLOOKUP(TABLE4A4398[[#This Row],[OCCUPANCY CATEGORY]],Ashrae90.1Vent[#All],2,FALSE),"NA")</f>
        <v>NA</v>
      </c>
      <c r="W5" s="100" t="str">
        <f>IF(TABLE4A4398[[#This Row],[FUNCTION OR SPACE]]="NOT PER TABLE 4A", VLOOKUP(TABLE4A4398[[#This Row],[OCCUPANCY CATEGORY]],Ashrae90.1Vent[#All],3,FALSE),"NA")</f>
        <v>NA</v>
      </c>
      <c r="X5" s="100" t="str">
        <f>IF(TABLE4A4398[[#This Row],[FUNCTION OR SPACE]]="NOT PER TABLE 4A",VLOOKUP(TABLE4A4398[[#This Row],[OCCUPANCY CATEGORY]],Ashrae90.1Vent[#All],4,FALSE),"NA")</f>
        <v>NA</v>
      </c>
      <c r="Y5" s="100" t="str">
        <f>IF(TABLE4A4398[[#This Row],[FUNCTION OR SPACE]]="NOT PER TABLE 4A",VLOOKUP(TABLE4A4398[[#This Row],[OCCUPANCY CATEGORY]],Ashrae90.1Vent[#All],5,FALSE),"NA")</f>
        <v>NA</v>
      </c>
      <c r="Z5" s="98" t="str">
        <f>IF(TABLE4A4398[[#This Row],[FUNCTION OR SPACE]]="NOT PER TABLE 4A",TABLE4A4398[[#This Row],[Occupants (Pz)]],"NA")</f>
        <v>NA</v>
      </c>
      <c r="AA5" s="100" t="str">
        <f>IF(TABLE4A4398[[#This Row],[FUNCTION OR SPACE]]="NOT PER TABLE 4A",CEILING((X5/1000)*E5,1),"NA")</f>
        <v>NA</v>
      </c>
      <c r="AB5" s="100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5" s="101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5" s="102" t="str">
        <f>IF(TABLE4A4398[[#This Row],[FUNCTION OR SPACE]]="NOT PER TABLE 4A",IF(TABLE4A4398[[#This Row],[DIVERSITY (D)]]&lt;0.6,(0.88*TABLE4A4398[[#This Row],[DIVERSITY (D)]]+0.22),0.75),"NA")</f>
        <v>NA</v>
      </c>
      <c r="AE5" s="101" t="str">
        <f>IF(TABLE4A4398[[#This Row],[FUNCTION OR SPACE]]="NOT PER TABLE 4A",TABLE4A4398[[#This Row],[Uncorrected OA (Vou)]]/TABLE4A4398[[#This Row],[System Efficiency (Ev)]],"NA")</f>
        <v>NA</v>
      </c>
      <c r="AF5" s="98" t="s">
        <v>49</v>
      </c>
      <c r="AG5" s="101" t="str">
        <f>VLOOKUP(TABLE4A4398[[#This Row],[OCCUPANCY CATEGORY]],Ashrae90.1Vent[#All],6,FALSE)</f>
        <v>NA</v>
      </c>
      <c r="AH5" s="101" t="str">
        <f>IF(TABLE4A4398[[#This Row],[Exhaust Category]]="NOT APPLICABLE","NA",VLOOKUP(TABLE4A4398[[#This Row],[Exhaust Category]],ASHRAE_EA_Table[#All],2,FALSE))</f>
        <v>NA</v>
      </c>
      <c r="AI5" s="101" t="str">
        <f>IF(TABLE4A4398[[#This Row],[Exhaust Category]]="NOT APPLICABLE","NA",VLOOKUP(TABLE4A4398[[#This Row],[Exhaust Category]],ASHRAE_EA_Table[#All],3,FALSE))</f>
        <v>NA</v>
      </c>
      <c r="AJ5" s="100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5" s="95">
        <f>MROUND(IF(TABLE4A4398[[#This Row],[FUNCTION OR SPACE]]="NOT PER TABLE 4A",TABLE4A4398[[#This Row],[OUTSIDE AIRFLOW (CFM) (Vot)]],TABLE4A4398[[#This Row],[MIN OUTDOOR ACH 
(CFM)]]),5)</f>
        <v>170</v>
      </c>
      <c r="AL5" s="96" cm="1">
        <f t="array" aca="1" ref="AL5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</v>
      </c>
      <c r="AM5" s="103">
        <f ca="1">TABLE4A4398[[#This Row],[CALCULATED SA 
(CFM)]]</f>
        <v>500</v>
      </c>
      <c r="AN5" s="103" cm="1">
        <f t="array" aca="1" ref="AN5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300</v>
      </c>
      <c r="AO5" s="103" cm="1">
        <f t="array" aca="1" ref="AO5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5" s="104">
        <f ca="1">AM5-AN5-AO5</f>
        <v>200</v>
      </c>
      <c r="AQ5" s="104">
        <f ca="1">IFERROR(AL5/E5,"-")</f>
        <v>1</v>
      </c>
      <c r="AR5" s="104">
        <f ca="1">IF(TABLE4A4398[[#This Row],[DESIGN SA (CFM)]]=0,0,(TABLE4A4398[[#This Row],[DESIGN OA (CFM)]]/TABLE4A4398[[#This Row],[DESIGN SA (CFM)]])*100)</f>
        <v>34</v>
      </c>
      <c r="AS5" s="104">
        <f ca="1">AM5/E5/F5*60</f>
        <v>6</v>
      </c>
      <c r="AT5" s="79" t="str">
        <f ca="1">IF(AL5-AN5-AO5+AP5=0,"Yes","No")</f>
        <v>No</v>
      </c>
    </row>
    <row r="6" spans="1:65" ht="15" customHeight="1">
      <c r="B6" s="93"/>
      <c r="C6" s="108"/>
      <c r="D6" s="108"/>
      <c r="E6" s="109">
        <f>SUBTOTAL(109,TABLE4A4398[AREA 
(FT²)])</f>
        <v>500</v>
      </c>
      <c r="F6" s="109"/>
      <c r="G6" s="109"/>
      <c r="H6" s="109"/>
      <c r="I6" s="109"/>
      <c r="J6" s="109"/>
      <c r="K6" s="109"/>
      <c r="L6" s="109"/>
      <c r="M6" s="109"/>
      <c r="N6" s="110">
        <f>SUBTOTAL(109,TABLE4A4398[MIN OUTDOOR ACH 
(CFM)])</f>
        <v>170</v>
      </c>
      <c r="O6" s="109"/>
      <c r="P6" s="109">
        <f>SUBTOTAL(109,TABLE4A4398[MIN TOTAL ACH 
(CFM)])</f>
        <v>340</v>
      </c>
      <c r="Q6" s="109"/>
      <c r="R6" s="109">
        <f>SUBTOTAL(109,TABLE4A4398[MIN EA 
(CFM)])</f>
        <v>0</v>
      </c>
      <c r="S6" s="109"/>
      <c r="T6" s="109"/>
      <c r="U6" s="109"/>
      <c r="V6" s="109"/>
      <c r="W6" s="109"/>
      <c r="X6" s="109"/>
      <c r="Y6" s="109"/>
      <c r="Z6" s="109">
        <f>SUBTOTAL(109,TABLE4A4398[Actual Number of  Occupants (Ps)])</f>
        <v>0</v>
      </c>
      <c r="AA6" s="109">
        <f>SUBTOTAL(109,TABLE4A4398[Occupants (Pz)])</f>
        <v>0</v>
      </c>
      <c r="AB6" s="109"/>
      <c r="AC6" s="109"/>
      <c r="AD6" s="109"/>
      <c r="AE6" s="109"/>
      <c r="AF6" s="109"/>
      <c r="AG6" s="109"/>
      <c r="AH6" s="109"/>
      <c r="AI6" s="109"/>
      <c r="AJ6" s="109"/>
      <c r="AK6" s="109">
        <f>SUBTOTAL(109,TABLE4A4398[DESIGN OA (CFM)])</f>
        <v>170</v>
      </c>
      <c r="AL6" s="109">
        <f ca="1">SUBTOTAL(109,TABLE4A4398[CALCULATED SA 
(CFM)])</f>
        <v>500</v>
      </c>
      <c r="AM6" s="109">
        <f ca="1">SUBTOTAL(109,TABLE4A4398[DESIGN SA (CFM)])</f>
        <v>500</v>
      </c>
      <c r="AN6" s="110">
        <f ca="1">SUBTOTAL(109,TABLE4A4398[DESIGN RA (CFM)])</f>
        <v>300</v>
      </c>
      <c r="AO6" s="109">
        <f ca="1">SUBTOTAL(109,TABLE4A4398[DESIGN EA (CFM)])</f>
        <v>0</v>
      </c>
      <c r="AP6" s="109">
        <f ca="1">SUBTOTAL(109,TABLE4A4398[Transfer Air CFM])</f>
        <v>200</v>
      </c>
      <c r="AQ6" s="109"/>
      <c r="AR6" s="111"/>
      <c r="AS6" s="111"/>
      <c r="AT6" s="94"/>
    </row>
    <row r="7" spans="1:65" ht="15" customHeight="1">
      <c r="B7" s="42"/>
      <c r="C7" s="43"/>
      <c r="G7" s="34"/>
      <c r="H7" s="44"/>
      <c r="I7" s="44"/>
      <c r="L7" s="45"/>
      <c r="M7" s="46"/>
      <c r="N7" s="46"/>
      <c r="P7" s="33"/>
      <c r="S7" s="47"/>
      <c r="T7" s="47"/>
      <c r="U7" s="33"/>
      <c r="V7" s="33"/>
      <c r="W7" s="33"/>
      <c r="X7" s="33"/>
      <c r="Y7" s="47"/>
      <c r="Z7" s="48"/>
    </row>
    <row r="8" spans="1:65" ht="15" customHeight="1">
      <c r="B8" s="49"/>
      <c r="C8" s="43"/>
      <c r="G8" s="34"/>
      <c r="H8" s="44"/>
      <c r="I8" s="44"/>
      <c r="L8" s="45"/>
      <c r="M8" s="46"/>
      <c r="N8" s="46"/>
      <c r="P8" s="33"/>
      <c r="U8" s="33"/>
      <c r="V8" s="33"/>
      <c r="W8" s="33"/>
      <c r="X8" s="33"/>
      <c r="Y8" s="34"/>
      <c r="Z8" s="48"/>
    </row>
    <row r="9" spans="1:65" ht="15" customHeight="1">
      <c r="B9" s="42"/>
      <c r="C9" s="43"/>
      <c r="U9" s="33"/>
      <c r="V9" s="33"/>
      <c r="W9" s="33"/>
      <c r="X9" s="33"/>
    </row>
    <row r="10" spans="1:65" ht="15" customHeight="1">
      <c r="L10" s="33"/>
      <c r="O10" s="33"/>
      <c r="R10" s="33" t="s">
        <v>76</v>
      </c>
      <c r="U10" s="33"/>
      <c r="V10" s="33"/>
      <c r="W10" s="33"/>
      <c r="X10" s="33"/>
    </row>
    <row r="11" spans="1:65" ht="15" customHeight="1">
      <c r="U11" s="33"/>
      <c r="V11" s="33"/>
      <c r="W11" s="33"/>
      <c r="X11" s="33"/>
    </row>
    <row r="12" spans="1:65" ht="15" customHeight="1">
      <c r="U12" s="33"/>
      <c r="V12" s="33"/>
      <c r="W12" s="33"/>
      <c r="X12" s="33"/>
    </row>
    <row r="13" spans="1:65" ht="15" customHeight="1">
      <c r="U13" s="33"/>
      <c r="V13" s="33"/>
      <c r="W13" s="33"/>
      <c r="X13" s="33"/>
    </row>
    <row r="14" spans="1:65" ht="15" customHeight="1">
      <c r="U14" s="33"/>
      <c r="V14" s="33"/>
      <c r="W14" s="33"/>
      <c r="X14" s="33"/>
      <c r="Z14" s="271"/>
    </row>
    <row r="15" spans="1:65" ht="15" customHeight="1"/>
    <row r="16" spans="1:65" ht="15" customHeight="1"/>
    <row r="17" ht="15" customHeight="1"/>
    <row r="18" ht="15" customHeight="1"/>
    <row r="19" ht="15" customHeight="1"/>
    <row r="20" ht="15" customHeight="1"/>
    <row r="21" ht="15" customHeight="1"/>
    <row r="22" ht="15" customHeight="1"/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spans="33:46" ht="15" customHeight="1"/>
    <row r="34" spans="33:46" ht="15" customHeight="1"/>
    <row r="35" spans="33:46" ht="15" customHeight="1"/>
    <row r="36" spans="33:46" ht="15" customHeight="1"/>
    <row r="37" spans="33:46" ht="15" customHeight="1"/>
    <row r="38" spans="33:46" ht="15" customHeight="1"/>
    <row r="39" spans="33:46" ht="15" customHeight="1"/>
    <row r="40" spans="33:46" ht="15" customHeight="1"/>
    <row r="41" spans="33:46" ht="15" customHeight="1"/>
    <row r="42" spans="33:46" ht="15" customHeight="1"/>
    <row r="43" spans="33:46" ht="15" customHeight="1"/>
    <row r="44" spans="33:46" ht="15" customHeight="1"/>
    <row r="45" spans="33:46" ht="15" customHeight="1"/>
    <row r="46" spans="33:46" ht="15" customHeight="1"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</row>
    <row r="47" spans="33:46" ht="15" customHeight="1"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</row>
    <row r="48" spans="33:46" ht="15" customHeight="1"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</row>
    <row r="49" spans="14:48" ht="15" customHeight="1"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</row>
    <row r="50" spans="14:48" ht="15" customHeight="1"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</row>
    <row r="51" spans="14:48" ht="15" customHeight="1"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</row>
    <row r="52" spans="14:48" ht="15" customHeight="1"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</row>
    <row r="53" spans="14:48" ht="15" customHeight="1"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</row>
    <row r="54" spans="14:48" ht="15" customHeight="1"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</row>
    <row r="55" spans="14:48" ht="15" customHeight="1"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</row>
    <row r="56" spans="14:48" ht="15" customHeight="1"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V56" s="34"/>
    </row>
    <row r="57" spans="14:48" ht="15" customHeight="1"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V57" s="34"/>
    </row>
    <row r="58" spans="14:48" ht="15" customHeight="1"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V58" s="34"/>
    </row>
    <row r="59" spans="14:48" ht="15" customHeight="1"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V59" s="34"/>
    </row>
    <row r="60" spans="14:48" ht="15" customHeight="1"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V60" s="34"/>
    </row>
    <row r="61" spans="14:48" ht="15" customHeight="1"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V61" s="34"/>
    </row>
    <row r="62" spans="14:48" ht="15" customHeight="1">
      <c r="N62" s="36"/>
      <c r="O62" s="33"/>
      <c r="P62" s="33"/>
      <c r="Q62" s="36"/>
      <c r="V62" s="33"/>
      <c r="W62" s="33"/>
      <c r="X62" s="33"/>
      <c r="Y62" s="36"/>
      <c r="Z62" s="36"/>
      <c r="AB62" s="36"/>
      <c r="AC62" s="37"/>
      <c r="AD62" s="33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V62" s="34"/>
    </row>
    <row r="63" spans="14:48" ht="15" customHeight="1">
      <c r="N63" s="34"/>
      <c r="O63" s="34"/>
      <c r="P63" s="34"/>
      <c r="Q63" s="34"/>
      <c r="R63" s="34"/>
      <c r="S63" s="34"/>
      <c r="T63" s="34"/>
      <c r="U63" s="34"/>
      <c r="W63" s="34"/>
      <c r="X63" s="34"/>
      <c r="Y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V63" s="34"/>
    </row>
    <row r="64" spans="14:48" ht="15" customHeight="1">
      <c r="N64" s="34"/>
      <c r="O64" s="34"/>
      <c r="P64" s="34"/>
      <c r="Q64" s="34"/>
      <c r="R64" s="34"/>
      <c r="S64" s="34"/>
      <c r="T64" s="34"/>
      <c r="U64" s="34"/>
      <c r="W64" s="34"/>
      <c r="X64" s="34"/>
      <c r="Y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V64" s="34"/>
    </row>
    <row r="65" spans="14:49" ht="15" customHeight="1">
      <c r="N65" s="34"/>
      <c r="O65" s="34"/>
      <c r="P65" s="34"/>
      <c r="Q65" s="34"/>
      <c r="R65" s="34"/>
      <c r="S65" s="34"/>
      <c r="T65" s="34"/>
      <c r="U65" s="34"/>
      <c r="W65" s="34"/>
      <c r="X65" s="34"/>
      <c r="Y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V65" s="34"/>
    </row>
    <row r="66" spans="14:49" ht="15" customHeight="1">
      <c r="N66" s="34"/>
      <c r="O66" s="34"/>
      <c r="P66" s="34"/>
      <c r="Q66" s="34"/>
      <c r="R66" s="34"/>
      <c r="S66" s="34"/>
      <c r="T66" s="34"/>
      <c r="U66" s="34"/>
      <c r="W66" s="34"/>
      <c r="X66" s="34"/>
      <c r="Y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V66" s="34"/>
    </row>
    <row r="67" spans="14:49" ht="15" customHeight="1">
      <c r="N67" s="38"/>
      <c r="O67" s="38"/>
      <c r="P67" s="34"/>
      <c r="Q67" s="34"/>
      <c r="R67" s="34"/>
      <c r="S67" s="34"/>
      <c r="T67" s="34"/>
      <c r="U67" s="34"/>
      <c r="W67" s="34"/>
      <c r="X67" s="34"/>
      <c r="Y67" s="34"/>
      <c r="AC67" s="33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V67" s="34"/>
    </row>
    <row r="68" spans="14:49" ht="15" customHeight="1">
      <c r="N68" s="38"/>
      <c r="O68" s="38"/>
      <c r="P68" s="34"/>
      <c r="Q68" s="34"/>
      <c r="R68" s="34"/>
      <c r="S68" s="34"/>
      <c r="T68" s="34"/>
      <c r="U68" s="34"/>
      <c r="W68" s="34"/>
      <c r="X68" s="34"/>
      <c r="Y68" s="34"/>
      <c r="AC68" s="33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V68" s="34"/>
    </row>
    <row r="69" spans="14:49" ht="15" customHeight="1">
      <c r="N69" s="38"/>
      <c r="O69" s="38"/>
      <c r="P69" s="34"/>
      <c r="Q69" s="34"/>
      <c r="R69" s="34"/>
      <c r="S69" s="34"/>
      <c r="T69" s="34"/>
      <c r="U69" s="34"/>
      <c r="W69" s="34"/>
      <c r="X69" s="34"/>
      <c r="Y69" s="34"/>
      <c r="AC69" s="33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V69" s="34"/>
    </row>
    <row r="70" spans="14:49" ht="15" customHeight="1">
      <c r="AB70" s="48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V70" s="34"/>
    </row>
    <row r="71" spans="14:49" ht="15" customHeight="1"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V71" s="34"/>
    </row>
    <row r="72" spans="14:49" ht="15" customHeight="1"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V72" s="34"/>
    </row>
    <row r="73" spans="14:49" ht="15" customHeight="1"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V73" s="34"/>
    </row>
    <row r="74" spans="14:49" ht="15" customHeight="1"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V74" s="34"/>
    </row>
    <row r="75" spans="14:49" ht="15" customHeight="1"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V75" s="34"/>
    </row>
    <row r="76" spans="14:49" ht="15" customHeight="1"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V76" s="34"/>
    </row>
    <row r="77" spans="14:49" ht="15" customHeight="1"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V77" s="34"/>
    </row>
    <row r="78" spans="14:49"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W78" s="34"/>
    </row>
    <row r="79" spans="14:49" ht="15" customHeight="1"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W79" s="34"/>
    </row>
    <row r="80" spans="14:49" ht="15" customHeight="1"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W80" s="34"/>
    </row>
    <row r="81" spans="34:49" ht="15" customHeight="1"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W81" s="34"/>
    </row>
    <row r="82" spans="34:49" ht="15" customHeight="1"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W82" s="34"/>
    </row>
    <row r="83" spans="34:49" ht="15" customHeight="1"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W83" s="34"/>
    </row>
    <row r="84" spans="34:49" ht="15" customHeight="1"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W84" s="34"/>
    </row>
    <row r="85" spans="34:49" ht="15" customHeight="1"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W85" s="34"/>
    </row>
    <row r="86" spans="34:49" ht="15" customHeight="1"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W86" s="34"/>
    </row>
    <row r="87" spans="34:49" ht="15" customHeight="1"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W87" s="34"/>
    </row>
    <row r="88" spans="34:49" ht="15" customHeight="1"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W88" s="34"/>
    </row>
    <row r="89" spans="34:49" ht="15" customHeight="1"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W89" s="34"/>
    </row>
    <row r="90" spans="34:49" ht="15" customHeight="1"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W90" s="34"/>
    </row>
    <row r="91" spans="34:49" ht="15" customHeight="1"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W91" s="34"/>
    </row>
    <row r="92" spans="34:49" ht="15" customHeight="1">
      <c r="AR92" s="50"/>
      <c r="AS92" s="50"/>
      <c r="AT92" s="50"/>
      <c r="AU92" s="34"/>
      <c r="AW92" s="34"/>
    </row>
    <row r="93" spans="34:49" ht="15" customHeight="1">
      <c r="AU93" s="34"/>
      <c r="AW93" s="34"/>
    </row>
    <row r="94" spans="34:49" ht="15" customHeight="1">
      <c r="AU94" s="34"/>
      <c r="AW94" s="34"/>
    </row>
    <row r="95" spans="34:49" ht="15" customHeight="1">
      <c r="AU95" s="34"/>
      <c r="AW95" s="34"/>
    </row>
    <row r="96" spans="34:49" ht="15.75" customHeight="1">
      <c r="AU96" s="34"/>
      <c r="AW96" s="34"/>
    </row>
    <row r="97" spans="47:49">
      <c r="AU97" s="34"/>
      <c r="AW97" s="34"/>
    </row>
    <row r="98" spans="47:49">
      <c r="AU98" s="34"/>
      <c r="AW98" s="34"/>
    </row>
    <row r="99" spans="47:49">
      <c r="AU99" s="34"/>
      <c r="AW99" s="34"/>
    </row>
    <row r="100" spans="47:49" ht="15" customHeight="1">
      <c r="AU100" s="34"/>
      <c r="AW100" s="34"/>
    </row>
    <row r="101" spans="47:49">
      <c r="AU101" s="34"/>
    </row>
    <row r="102" spans="47:49">
      <c r="AU102" s="50"/>
    </row>
  </sheetData>
  <dataConsolidate topLabels="1">
    <dataRefs count="1">
      <dataRef ref="C8:D86" sheet="AHU 1" r:id="rId1"/>
    </dataRefs>
  </dataConsolidate>
  <mergeCells count="4">
    <mergeCell ref="K3:R3"/>
    <mergeCell ref="S3:AJ3"/>
    <mergeCell ref="B3:H3"/>
    <mergeCell ref="AQ3:AR3"/>
  </mergeCells>
  <phoneticPr fontId="9" type="noConversion"/>
  <conditionalFormatting sqref="AR5">
    <cfRule type="cellIs" dxfId="1" priority="2" operator="greaterThan">
      <formula>#REF!</formula>
    </cfRule>
  </conditionalFormatting>
  <conditionalFormatting sqref="AP5:AQ5">
    <cfRule type="cellIs" dxfId="0" priority="1" operator="greaterThan">
      <formula>#REF!</formula>
    </cfRule>
  </conditionalFormatting>
  <dataValidations disablePrompts="1" count="4">
    <dataValidation type="whole" operator="greaterThan" allowBlank="1" showInputMessage="1" showErrorMessage="1" sqref="AN5:AO5" xr:uid="{2C826603-EAFD-4AAE-9F20-882A4446A8AE}">
      <formula1>-1</formula1>
    </dataValidation>
    <dataValidation type="whole" operator="greaterThan" allowBlank="1" showInputMessage="1" showErrorMessage="1" sqref="E5" xr:uid="{B3A111F1-8A33-4C11-913E-140CC35EA048}">
      <formula1>1</formula1>
    </dataValidation>
    <dataValidation type="decimal" operator="greaterThan" allowBlank="1" showInputMessage="1" showErrorMessage="1" sqref="F5" xr:uid="{C2C84CC5-1E8B-47D7-B43F-6797E0635F46}">
      <formula1>1</formula1>
    </dataValidation>
    <dataValidation type="whole" operator="greaterThan" allowBlank="1" showInputMessage="1" showErrorMessage="1" sqref="AM5" xr:uid="{9288F396-7B7D-4A1B-93B1-D049E4B0619B}">
      <formula1>0</formula1>
    </dataValidation>
  </dataValidations>
  <pageMargins left="0.25" right="0.25" top="0.75" bottom="0.75" header="0.3" footer="0.3"/>
  <pageSetup paperSize="17" scale="47" fitToHeight="0" orientation="landscape" r:id="rId2"/>
  <headerFooter differentFirst="1" alignWithMargins="0">
    <firstHeader>&amp;L15175 - Design-Build Rady Children’s Hospital Murrieta Hub Medical Office Building, Murrieta, CA
AHU Systems and Airflows&amp;R&amp;D</firstHead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29" r:id="rId5" name="Button 13">
              <controlPr defaultSize="0" print="0" autoFill="0" autoPict="0" macro="[0]!AddRowsToTableWithUserInput" altText="HUMIDIFICATION">
                <anchor moveWithCells="1" sizeWithCells="1">
                  <from>
                    <xdr:col>1</xdr:col>
                    <xdr:colOff>784860</xdr:colOff>
                    <xdr:row>0</xdr:row>
                    <xdr:rowOff>15240</xdr:rowOff>
                  </from>
                  <to>
                    <xdr:col>3</xdr:col>
                    <xdr:colOff>563880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promptTitle="Title" prompt="Input message" xr:uid="{10FC0657-FF5F-4A06-9577-421757662B29}">
          <x14:formula1>
            <xm:f>'UMC Table 4-A'!$A$2:$A$132</xm:f>
          </x14:formula1>
          <xm:sqref>K5</xm:sqref>
        </x14:dataValidation>
        <x14:dataValidation type="list" allowBlank="1" showInputMessage="1" showErrorMessage="1" xr:uid="{88628EBF-4FDD-4838-8E7F-DCE08C28DC77}">
          <x14:formula1>
            <xm:f>'ASHRAE Table'!$J$2:$J$37</xm:f>
          </x14:formula1>
          <xm:sqref>S5</xm:sqref>
        </x14:dataValidation>
        <x14:dataValidation type="list" allowBlank="1" showInputMessage="1" showErrorMessage="1" xr:uid="{80938584-D353-43E0-9492-BAC4C343B750}">
          <x14:formula1>
            <xm:f>'ASHRAE Table'!$A$2:$A$93</xm:f>
          </x14:formula1>
          <xm:sqref>U5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A443B-C81C-4F7B-933B-0C22D15B7317}">
  <sheetPr codeName="Sheet8"/>
  <dimension ref="A1:Q4"/>
  <sheetViews>
    <sheetView workbookViewId="0">
      <selection activeCell="H9" sqref="H9"/>
    </sheetView>
  </sheetViews>
  <sheetFormatPr defaultRowHeight="13.2"/>
  <cols>
    <col min="1" max="1" width="11.44140625" bestFit="1" customWidth="1"/>
    <col min="2" max="2" width="22.33203125" customWidth="1"/>
    <col min="3" max="3" width="38.44140625" customWidth="1"/>
    <col min="4" max="4" width="10.21875" bestFit="1" customWidth="1"/>
    <col min="5" max="5" width="11.77734375" bestFit="1" customWidth="1"/>
    <col min="6" max="6" width="19.6640625" customWidth="1"/>
    <col min="7" max="7" width="10.44140625" bestFit="1" customWidth="1"/>
    <col min="8" max="8" width="12.21875" bestFit="1" customWidth="1"/>
    <col min="9" max="9" width="9.77734375" bestFit="1" customWidth="1"/>
    <col min="10" max="10" width="12.21875" bestFit="1" customWidth="1"/>
    <col min="11" max="11" width="10.44140625" bestFit="1" customWidth="1"/>
    <col min="12" max="12" width="12" bestFit="1" customWidth="1"/>
    <col min="13" max="13" width="10.5546875" bestFit="1" customWidth="1"/>
    <col min="14" max="14" width="11.88671875" bestFit="1" customWidth="1"/>
    <col min="15" max="15" width="12.88671875" bestFit="1" customWidth="1"/>
    <col min="16" max="16" width="13.21875" bestFit="1" customWidth="1"/>
    <col min="17" max="17" width="13.33203125" bestFit="1" customWidth="1"/>
  </cols>
  <sheetData>
    <row r="1" spans="1:17" ht="45">
      <c r="A1" s="105" t="s">
        <v>5</v>
      </c>
      <c r="B1" s="105" t="s">
        <v>50</v>
      </c>
      <c r="C1" s="105" t="s">
        <v>51</v>
      </c>
      <c r="D1" s="105" t="s">
        <v>52</v>
      </c>
      <c r="E1" s="105" t="s">
        <v>53</v>
      </c>
      <c r="F1" s="105" t="s">
        <v>54</v>
      </c>
      <c r="G1" s="105" t="s">
        <v>55</v>
      </c>
      <c r="H1" s="105" t="s">
        <v>56</v>
      </c>
      <c r="I1" s="105" t="s">
        <v>57</v>
      </c>
      <c r="J1" s="105" t="s">
        <v>58</v>
      </c>
      <c r="K1" s="105" t="s">
        <v>59</v>
      </c>
      <c r="L1" s="105" t="s">
        <v>60</v>
      </c>
      <c r="M1" s="105" t="s">
        <v>1</v>
      </c>
      <c r="N1" s="105" t="s">
        <v>61</v>
      </c>
      <c r="O1" s="105" t="s">
        <v>62</v>
      </c>
      <c r="P1" s="105" t="s">
        <v>63</v>
      </c>
      <c r="Q1" s="105" t="s">
        <v>64</v>
      </c>
    </row>
    <row r="2" spans="1:17" ht="15">
      <c r="A2" s="106" t="s">
        <v>65</v>
      </c>
      <c r="B2" s="106" t="s">
        <v>66</v>
      </c>
      <c r="C2" s="106" t="s">
        <v>67</v>
      </c>
      <c r="D2" s="96">
        <f ca="1">SUMIF(TABLE4A4398[ZONE],AHU_CAV_SCHEDULE441114[[#This Row],[ZONE]],TABLE4A4398[DESIGN SA (CFM)])</f>
        <v>500</v>
      </c>
      <c r="E2" s="96">
        <f ca="1">IFERROR((VLOOKUP(D2,'DO NOT TOUCH'!$C$9:$D$14,2,TRUE)),"TBD")</f>
        <v>8</v>
      </c>
      <c r="F2" s="96">
        <v>0.5</v>
      </c>
      <c r="G2" s="96">
        <f>INPUT_OUTPUTS!$C$16</f>
        <v>140</v>
      </c>
      <c r="H2" s="96">
        <f>INPUT_OUTPUTS!$C$17</f>
        <v>110</v>
      </c>
      <c r="I2" s="96">
        <v>55</v>
      </c>
      <c r="J2" s="96">
        <v>85</v>
      </c>
      <c r="K2" s="96">
        <f ca="1">MROUND((1.08*(J2-I2)*D2)/1000,0.1)</f>
        <v>16.2</v>
      </c>
      <c r="L2" s="107">
        <f ca="1">(K2*1000)/(500*(G2-H2))</f>
        <v>1.08</v>
      </c>
      <c r="M2" s="107">
        <f ca="1">IF(L2&lt;0.5,0.5,L2)</f>
        <v>1.08</v>
      </c>
      <c r="N2" s="107">
        <v>5</v>
      </c>
      <c r="O2" s="107">
        <f ca="1">IFERROR((_xlfn.XLOOKUP(E2,'DO NOT TOUCH'!$D$9:$D$14,'DO NOT TOUCH'!$E$9:$E$14,)),"TBD")</f>
        <v>30</v>
      </c>
      <c r="P2" s="107">
        <f>INPUT_OUTPUTS!$C$19</f>
        <v>0</v>
      </c>
      <c r="Q2" s="96" t="s">
        <v>68</v>
      </c>
    </row>
    <row r="3" spans="1:17" ht="15">
      <c r="A3" s="106" t="s">
        <v>70</v>
      </c>
      <c r="B3" s="106" t="s">
        <v>66</v>
      </c>
      <c r="C3" s="106" t="s">
        <v>67</v>
      </c>
      <c r="D3" s="96">
        <f>SUMIF(TABLE4A4398[ZONE],AHU_CAV_SCHEDULE441114[[#This Row],[ZONE]],TABLE4A4398[DESIGN SA (CFM)])</f>
        <v>0</v>
      </c>
      <c r="E3" s="96" t="str">
        <f>IFERROR((VLOOKUP(D3,'DO NOT TOUCH'!$C$9:$D$14,2,TRUE)),"TBD")</f>
        <v>TBD</v>
      </c>
      <c r="F3" s="96">
        <f>F2</f>
        <v>0.5</v>
      </c>
      <c r="G3" s="96">
        <f>INPUT_OUTPUTS!$C$16</f>
        <v>140</v>
      </c>
      <c r="H3" s="96">
        <f>INPUT_OUTPUTS!$C$17</f>
        <v>110</v>
      </c>
      <c r="I3" s="96">
        <f>I2</f>
        <v>55</v>
      </c>
      <c r="J3" s="96">
        <f>J2</f>
        <v>85</v>
      </c>
      <c r="K3" s="96">
        <f>MROUND((1.08*(J3-I3)*D3)/1000,0.1)</f>
        <v>0</v>
      </c>
      <c r="L3" s="107">
        <f>(K3*1000)/(500*(G3-H3))</f>
        <v>0</v>
      </c>
      <c r="M3" s="107">
        <f>IF(L3&lt;0.5,0.5,L3)</f>
        <v>0.5</v>
      </c>
      <c r="N3" s="107">
        <f>N2</f>
        <v>5</v>
      </c>
      <c r="O3" s="107" t="str">
        <f>IFERROR((_xlfn.XLOOKUP(E3,'DO NOT TOUCH'!$D$9:$D$14,'DO NOT TOUCH'!$E$9:$E$14,)),"TBD")</f>
        <v>TBD</v>
      </c>
      <c r="P3" s="107">
        <f>INPUT_OUTPUTS!$C$19</f>
        <v>0</v>
      </c>
      <c r="Q3" s="96" t="str">
        <f>Q2</f>
        <v>1, 2</v>
      </c>
    </row>
    <row r="4" spans="1:17" ht="15">
      <c r="A4" s="112" t="s">
        <v>77</v>
      </c>
      <c r="B4" s="113"/>
      <c r="C4" s="113"/>
      <c r="D4" s="114"/>
      <c r="E4" s="114"/>
      <c r="F4" s="114"/>
      <c r="G4" s="114"/>
      <c r="H4" s="114"/>
      <c r="I4" s="114"/>
      <c r="J4" s="114"/>
      <c r="K4" s="114">
        <f ca="1">SUBTOTAL(109,AHU_CAV_SCHEDULE441114[MIN MBH])</f>
        <v>16.2</v>
      </c>
      <c r="L4" s="114"/>
      <c r="M4" s="115">
        <f ca="1">SUBTOTAL(109,AHU_CAV_SCHEDULE441114[GPM])</f>
        <v>1.58</v>
      </c>
      <c r="N4" s="114"/>
      <c r="O4" s="114"/>
      <c r="P4" s="114"/>
      <c r="Q4" s="116"/>
    </row>
  </sheetData>
  <pageMargins left="0.7" right="0.7" top="0.75" bottom="0.75" header="0.3" footer="0.3"/>
  <ignoredErrors>
    <ignoredError sqref="D2 F2" calculatedColumn="1"/>
  </ignoredErrors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75627-BC4D-4897-93C2-955F94019DDB}">
  <sheetPr codeName="Sheet11">
    <pageSetUpPr fitToPage="1"/>
  </sheetPr>
  <dimension ref="A1:AN18"/>
  <sheetViews>
    <sheetView showGridLines="0" showRowColHeaders="0" topLeftCell="AA1" zoomScale="67" zoomScaleNormal="100" workbookViewId="0">
      <selection activeCell="AC4" sqref="AC4"/>
    </sheetView>
  </sheetViews>
  <sheetFormatPr defaultRowHeight="13.2"/>
  <cols>
    <col min="1" max="1" width="21" bestFit="1" customWidth="1"/>
    <col min="2" max="2" width="19.5546875" bestFit="1" customWidth="1"/>
    <col min="3" max="3" width="19.33203125" bestFit="1" customWidth="1"/>
    <col min="4" max="4" width="20.88671875" bestFit="1" customWidth="1"/>
    <col min="5" max="5" width="20.88671875" customWidth="1"/>
    <col min="6" max="6" width="15.6640625" customWidth="1"/>
    <col min="7" max="7" width="16.6640625" customWidth="1"/>
    <col min="8" max="8" width="13.5546875" bestFit="1" customWidth="1"/>
    <col min="9" max="9" width="25.6640625" bestFit="1" customWidth="1"/>
    <col min="10" max="10" width="63" bestFit="1" customWidth="1"/>
    <col min="11" max="11" width="29.6640625" customWidth="1"/>
    <col min="12" max="12" width="22.33203125" customWidth="1"/>
    <col min="13" max="13" width="16.44140625" bestFit="1" customWidth="1"/>
    <col min="14" max="14" width="16.44140625" customWidth="1"/>
    <col min="15" max="15" width="21" bestFit="1" customWidth="1"/>
    <col min="16" max="16" width="17.44140625" customWidth="1"/>
    <col min="17" max="17" width="23.6640625" customWidth="1"/>
    <col min="18" max="18" width="21.88671875" bestFit="1" customWidth="1"/>
    <col min="19" max="19" width="20.6640625" bestFit="1" customWidth="1"/>
    <col min="20" max="20" width="16.77734375" customWidth="1"/>
    <col min="21" max="21" width="29.21875" bestFit="1" customWidth="1"/>
    <col min="22" max="22" width="16.5546875" customWidth="1"/>
    <col min="23" max="23" width="24" bestFit="1" customWidth="1"/>
    <col min="24" max="24" width="16.44140625" bestFit="1" customWidth="1"/>
    <col min="25" max="25" width="20.44140625" bestFit="1" customWidth="1"/>
    <col min="26" max="26" width="18.6640625" bestFit="1" customWidth="1"/>
    <col min="27" max="28" width="27.88671875" bestFit="1" customWidth="1"/>
    <col min="29" max="30" width="27.88671875" customWidth="1"/>
    <col min="31" max="31" width="18.5546875" customWidth="1"/>
    <col min="32" max="32" width="21.44140625" customWidth="1"/>
    <col min="33" max="33" width="15.109375" customWidth="1"/>
    <col min="34" max="34" width="18" bestFit="1" customWidth="1"/>
    <col min="35" max="35" width="18" customWidth="1"/>
    <col min="36" max="36" width="21.33203125" bestFit="1" customWidth="1"/>
    <col min="37" max="38" width="20.88671875" bestFit="1" customWidth="1"/>
    <col min="39" max="39" width="19.5546875" bestFit="1" customWidth="1"/>
    <col min="40" max="40" width="26.6640625" bestFit="1" customWidth="1"/>
    <col min="41" max="41" width="33.44140625" bestFit="1" customWidth="1"/>
    <col min="42" max="42" width="17.44140625" bestFit="1" customWidth="1"/>
    <col min="43" max="43" width="18.5546875" bestFit="1" customWidth="1"/>
    <col min="44" max="44" width="25.33203125" bestFit="1" customWidth="1"/>
    <col min="45" max="45" width="34.109375" bestFit="1" customWidth="1"/>
    <col min="46" max="46" width="26.6640625" bestFit="1" customWidth="1"/>
    <col min="47" max="47" width="33.44140625" bestFit="1" customWidth="1"/>
    <col min="48" max="49" width="17.44140625" bestFit="1" customWidth="1"/>
    <col min="50" max="50" width="18.5546875" bestFit="1" customWidth="1"/>
    <col min="51" max="51" width="19.5546875" bestFit="1" customWidth="1"/>
    <col min="52" max="52" width="14.5546875" bestFit="1" customWidth="1"/>
    <col min="53" max="53" width="17.88671875" bestFit="1" customWidth="1"/>
    <col min="54" max="54" width="12.5546875" bestFit="1" customWidth="1"/>
    <col min="55" max="55" width="15.6640625" bestFit="1" customWidth="1"/>
    <col min="56" max="56" width="12.109375" bestFit="1" customWidth="1"/>
    <col min="57" max="57" width="15.6640625" bestFit="1" customWidth="1"/>
    <col min="58" max="58" width="12.88671875" bestFit="1" customWidth="1"/>
    <col min="59" max="59" width="14.5546875" bestFit="1" customWidth="1"/>
    <col min="60" max="60" width="13" bestFit="1" customWidth="1"/>
    <col min="61" max="61" width="15.6640625" bestFit="1" customWidth="1"/>
    <col min="62" max="62" width="14.88671875" bestFit="1" customWidth="1"/>
    <col min="63" max="63" width="15.6640625" bestFit="1" customWidth="1"/>
    <col min="64" max="64" width="18.5546875" bestFit="1" customWidth="1"/>
  </cols>
  <sheetData>
    <row r="1" spans="1:40" s="319" customFormat="1" ht="17.399999999999999">
      <c r="P1" s="352" t="s">
        <v>685</v>
      </c>
      <c r="Q1" s="352"/>
      <c r="R1" s="320">
        <v>80</v>
      </c>
      <c r="S1" s="352" t="s">
        <v>754</v>
      </c>
      <c r="T1" s="352"/>
      <c r="U1" s="320" t="s">
        <v>756</v>
      </c>
      <c r="V1" s="321" t="s">
        <v>758</v>
      </c>
      <c r="W1" s="322">
        <v>3500</v>
      </c>
    </row>
    <row r="3" spans="1:40">
      <c r="A3" s="348" t="s">
        <v>78</v>
      </c>
      <c r="B3" s="349"/>
      <c r="C3" s="349"/>
      <c r="D3" s="349"/>
      <c r="E3" s="349"/>
      <c r="F3" s="349"/>
      <c r="G3" s="349"/>
      <c r="H3" s="349"/>
      <c r="I3" s="350" t="s">
        <v>79</v>
      </c>
      <c r="J3" s="351"/>
      <c r="K3" s="351"/>
      <c r="L3" s="351"/>
      <c r="M3" s="351"/>
      <c r="N3" s="351"/>
      <c r="O3" s="351"/>
      <c r="P3" s="351"/>
      <c r="Q3" s="351"/>
      <c r="R3" s="351"/>
      <c r="S3" s="351"/>
      <c r="T3" s="351"/>
      <c r="U3" s="351"/>
      <c r="V3" s="351"/>
      <c r="W3" s="351"/>
      <c r="X3" s="351"/>
      <c r="Y3" s="351"/>
      <c r="Z3" s="351"/>
      <c r="AA3" s="351"/>
      <c r="AB3" s="351"/>
      <c r="AC3" s="351"/>
      <c r="AD3" s="351"/>
      <c r="AE3" s="351"/>
      <c r="AF3" s="351"/>
      <c r="AG3" s="351"/>
      <c r="AH3" s="351"/>
      <c r="AI3" s="73"/>
    </row>
    <row r="4" spans="1:40" s="11" customFormat="1" ht="46.8">
      <c r="A4" s="63" t="s">
        <v>80</v>
      </c>
      <c r="B4" s="64" t="s">
        <v>81</v>
      </c>
      <c r="C4" s="64" t="s">
        <v>82</v>
      </c>
      <c r="D4" s="65" t="s">
        <v>83</v>
      </c>
      <c r="E4" s="309" t="s">
        <v>745</v>
      </c>
      <c r="F4" s="65" t="s">
        <v>84</v>
      </c>
      <c r="G4" s="65" t="s">
        <v>85</v>
      </c>
      <c r="H4" s="66" t="s">
        <v>86</v>
      </c>
      <c r="I4" s="66" t="s">
        <v>22</v>
      </c>
      <c r="J4" s="65" t="s">
        <v>87</v>
      </c>
      <c r="K4" s="65" t="s">
        <v>25</v>
      </c>
      <c r="L4" s="65" t="s">
        <v>26</v>
      </c>
      <c r="M4" s="65" t="s">
        <v>27</v>
      </c>
      <c r="N4" s="309" t="s">
        <v>749</v>
      </c>
      <c r="O4" s="309" t="s">
        <v>750</v>
      </c>
      <c r="P4" s="65" t="s">
        <v>28</v>
      </c>
      <c r="Q4" s="66" t="s">
        <v>30</v>
      </c>
      <c r="R4" s="66" t="s">
        <v>31</v>
      </c>
      <c r="S4" s="67" t="s">
        <v>32</v>
      </c>
      <c r="T4" s="67" t="s">
        <v>33</v>
      </c>
      <c r="U4" s="67" t="s">
        <v>34</v>
      </c>
      <c r="V4" s="77" t="s">
        <v>88</v>
      </c>
      <c r="W4" s="77" t="s">
        <v>89</v>
      </c>
      <c r="X4" s="77" t="s">
        <v>90</v>
      </c>
      <c r="Y4" s="77" t="s">
        <v>35</v>
      </c>
      <c r="Z4" s="77" t="s">
        <v>91</v>
      </c>
      <c r="AA4" s="77" t="s">
        <v>36</v>
      </c>
      <c r="AB4" s="77" t="s">
        <v>92</v>
      </c>
      <c r="AC4" s="77" t="s">
        <v>752</v>
      </c>
      <c r="AD4" s="77" t="s">
        <v>747</v>
      </c>
      <c r="AE4" s="66" t="s">
        <v>37</v>
      </c>
      <c r="AF4" s="66" t="s">
        <v>38</v>
      </c>
      <c r="AG4" s="65" t="s">
        <v>39</v>
      </c>
      <c r="AH4" s="67" t="s">
        <v>93</v>
      </c>
      <c r="AI4" s="311" t="s">
        <v>746</v>
      </c>
      <c r="AJ4" s="67" t="s">
        <v>94</v>
      </c>
      <c r="AK4" s="67" t="s">
        <v>95</v>
      </c>
      <c r="AL4" s="65" t="s">
        <v>96</v>
      </c>
      <c r="AM4" s="68" t="s">
        <v>41</v>
      </c>
      <c r="AN4" s="69" t="s">
        <v>97</v>
      </c>
    </row>
    <row r="5" spans="1:40" ht="15.6">
      <c r="A5" s="98" t="s">
        <v>103</v>
      </c>
      <c r="B5" s="98">
        <v>102</v>
      </c>
      <c r="C5" s="98" t="s">
        <v>748</v>
      </c>
      <c r="D5" s="98">
        <v>550</v>
      </c>
      <c r="E5" s="98">
        <v>-50</v>
      </c>
      <c r="F5" s="98">
        <v>4</v>
      </c>
      <c r="G5" s="117">
        <f>IF((VLOOKUP(Ahu_Ashrae_Generic[[#This Row],[Occupancy Category]],Ashrae90.1Vent[#All],7,FALSE)) = "YES",MROUND(D5/2,5),MROUND(D5,5))</f>
        <v>275</v>
      </c>
      <c r="H5" s="98">
        <v>300</v>
      </c>
      <c r="I5" s="98" t="s">
        <v>72</v>
      </c>
      <c r="J5" s="98" t="s">
        <v>104</v>
      </c>
      <c r="K5" s="100">
        <f>VLOOKUP(Ahu_Ashrae_Generic[[#This Row],[Occupancy Category]],Ashrae90.1Vent[#All],2,FALSE)</f>
        <v>0</v>
      </c>
      <c r="L5" s="100">
        <f>VLOOKUP(Ahu_Ashrae_Generic[[#This Row],[Occupancy Category]],Ashrae90.1Vent[#All],3,FALSE)</f>
        <v>0</v>
      </c>
      <c r="M5" s="100">
        <f>VLOOKUP(Ahu_Ashrae_Generic[[#This Row],[Occupancy Category]],Ashrae90.1Vent[#All],4,FALSE)</f>
        <v>0</v>
      </c>
      <c r="N5" s="100">
        <f>Ahu_Ashrae_Generic[[#This Row],[OCCUPANT DENSITY
('#/1000 FT²)]]*Ahu_Ashrae_Generic[[#This Row],[RP
(CFM/PER PERSON)]]</f>
        <v>0</v>
      </c>
      <c r="O5" s="100">
        <f>Ahu_Ashrae_Generic[[#This Row],[RA
(CFM/FT²)]]*Ahu_Ashrae_Generic[[#This Row],[AREA (FT²)]]</f>
        <v>0</v>
      </c>
      <c r="P5" s="100">
        <f>VLOOKUP(Ahu_Ashrae_Generic[[#This Row],[Occupancy Category]],Ashrae90.1Vent[#All],5,FALSE)</f>
        <v>2</v>
      </c>
      <c r="Q5" s="100">
        <f>CEILING((M5/1000)*D5,1)</f>
        <v>0</v>
      </c>
      <c r="R5" s="102">
        <f>IF(($R$1/Ahu_Ashrae_Generic[[#Totals],[Occupants (Pz)]])&gt;1,1,$R$1/Ahu_Ashrae_Generic[[#Totals],[Occupants (Pz)]])</f>
        <v>1</v>
      </c>
      <c r="S5" s="101">
        <f>(Ahu_Ashrae_Generic[[#This Row],[DIVERSITY (D)]]*Ahu_Ashrae_Generic[[#This Row],[RP
(CFM/PER PERSON)]]*Ahu_Ashrae_Generic[[#This Row],[Occupants (Pz)]])+(Ahu_Ashrae_Generic[[#This Row],[RA
(CFM/FT²)]]*Ahu_Ashrae_Generic[[#This Row],[AREA (FT²)]])</f>
        <v>0</v>
      </c>
      <c r="T5" s="102">
        <v>0.65624675324675319</v>
      </c>
      <c r="U5" s="101">
        <f>Ahu_Ashrae_Generic[[#This Row],[Uncorrected OA (Vou)]]/Ahu_Ashrae_Generic[[#This Row],[System Efficiency (Ev)]]</f>
        <v>0</v>
      </c>
      <c r="V5" s="101">
        <f>(Ahu_Ashrae_Generic[[#This Row],[RP
(CFM/PER PERSON)]]*Ahu_Ashrae_Generic[[#This Row],[Occupants (Pz)]])+(Ahu_Ashrae_Generic[[#This Row],[RA
(CFM/FT²)]]*Ahu_Ashrae_Generic[[#This Row],[AREA (FT²)]])</f>
        <v>0</v>
      </c>
      <c r="W5" s="98">
        <v>0.8</v>
      </c>
      <c r="X5" s="101">
        <f>Ahu_Ashrae_Generic[[#This Row],[Breathing Zone OA (Vbz)]]/Ahu_Ashrae_Generic[[#This Row],[Zone Efficiency (Ez)]]</f>
        <v>0</v>
      </c>
      <c r="Y5" s="314" t="s">
        <v>49</v>
      </c>
      <c r="Z5" s="100" t="str" cm="1">
        <f t="array" aca="1" ref="Z5" ca="1">co2requirement(Ahu_Ashrae_Generic[[#This Row],[AREA (FT²)]],Ahu_Ashrae_Generic[[#This Row],[EXHAUST RECOVERY]],INPUT_OUTPUTS!$C$6,Ahu_Ashrae_Generic[[#This Row],[Occupant Component]])</f>
        <v>NO</v>
      </c>
      <c r="AA5" s="101" t="str">
        <f>VLOOKUP(Ahu_Ashrae_Generic[[#This Row],[Occupancy Category]],Ashrae90.1Vent[#All],6,FALSE)</f>
        <v>NO</v>
      </c>
      <c r="AB5" s="101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5" s="145">
        <v>0</v>
      </c>
      <c r="AD5" s="101" t="str">
        <f>IF(Ahu_Ashrae_Generic[[#This Row],[Exhaust Category]] = "NOT APPLICABLE","NR","YES")</f>
        <v>YES</v>
      </c>
      <c r="AE5" s="101">
        <f>IF(Ahu_Ashrae_Generic[[#This Row],[Exhaust Category]]="NOT APPLICABLE","NA",VLOOKUP(Ahu_Ashrae_Generic[[#This Row],[Exhaust Category]],ASHRAE_EA_Table[#All],2,FALSE))</f>
        <v>50</v>
      </c>
      <c r="AF5" s="101">
        <f>IF(Ahu_Ashrae_Generic[[#This Row],[Exhaust Category]]="NOT APPLICABLE","NA",VLOOKUP(Ahu_Ashrae_Generic[[#This Row],[Exhaust Category]],ASHRAE_EA_Table[#All],3,FALSE))</f>
        <v>0</v>
      </c>
      <c r="AG5" s="100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200</v>
      </c>
      <c r="AH5" s="101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300</v>
      </c>
      <c r="AI5" s="101" cm="1">
        <f t="array" aca="1" ref="AI5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Room]])</f>
        <v>300</v>
      </c>
      <c r="AJ5" s="145">
        <f ca="1">Ahu_Ashrae_Generic[[#This Row],[Calculated VAV Max CFM]]</f>
        <v>300</v>
      </c>
      <c r="AK5" s="98" cm="1">
        <f t="array" aca="1" ref="AK5" ca="1">Returnair(Ahu_Ashrae_Generic[[#This Row],[Calculated VAV Max CFM]],Ahu_Ashrae_Generic[[#This Row],[Desired Room Balance]],Ahu_Ashrae_Generic[[#This Row],[Exhausted?]],Ahu_Ashrae_Generic[[#This Row],[Misc Exhaust From Room]])</f>
        <v>0</v>
      </c>
      <c r="AL5" s="98" cm="1">
        <f t="array" aca="1" ref="AL5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350</v>
      </c>
      <c r="AM5" s="101">
        <f ca="1">Ahu_Ashrae_Generic[[#This Row],[DESIGN VAV MAX SA(CFM)]]-Ahu_Ashrae_Generic[[#This Row],[DESIGN RA (CFM)]]-Ahu_Ashrae_Generic[[#This Row],[DESIGN EA(CFM)]]</f>
        <v>-50</v>
      </c>
      <c r="AN5" s="70">
        <f ca="1">Ahu_Ashrae_Generic[[#This Row],[OUTSIDE AIRFLOW (CFM) (Vot)]]/Ahu_Ashrae_Generic[[#This Row],[DESIGN VAV MAX SA(CFM)]]</f>
        <v>0</v>
      </c>
    </row>
    <row r="6" spans="1:40" ht="15.6">
      <c r="A6" s="98" t="s">
        <v>103</v>
      </c>
      <c r="B6" s="98">
        <v>102</v>
      </c>
      <c r="C6" s="98" t="s">
        <v>751</v>
      </c>
      <c r="D6" s="98">
        <v>550</v>
      </c>
      <c r="E6" s="98">
        <v>0</v>
      </c>
      <c r="F6" s="98">
        <v>0</v>
      </c>
      <c r="G6" s="117">
        <f>IF((VLOOKUP(Ahu_Ashrae_Generic[[#This Row],[Occupancy Category]],Ashrae90.1Vent[#All],7,FALSE)) = "YES",MROUND(D6/2,5),MROUND(D6,5))</f>
        <v>550</v>
      </c>
      <c r="H6" s="98">
        <v>500</v>
      </c>
      <c r="I6" s="98" t="s">
        <v>48</v>
      </c>
      <c r="J6" s="98" t="s">
        <v>75</v>
      </c>
      <c r="K6" s="100">
        <f>VLOOKUP(Ahu_Ashrae_Generic[[#This Row],[Occupancy Category]],Ashrae90.1Vent[#All],2,FALSE)</f>
        <v>5</v>
      </c>
      <c r="L6" s="100">
        <f>VLOOKUP(Ahu_Ashrae_Generic[[#This Row],[Occupancy Category]],Ashrae90.1Vent[#All],3,FALSE)</f>
        <v>0.06</v>
      </c>
      <c r="M6" s="100">
        <f>VLOOKUP(Ahu_Ashrae_Generic[[#This Row],[Occupancy Category]],Ashrae90.1Vent[#All],4,FALSE)</f>
        <v>50</v>
      </c>
      <c r="N6" s="100">
        <f>Ahu_Ashrae_Generic[[#This Row],[OCCUPANT DENSITY
('#/1000 FT²)]]*Ahu_Ashrae_Generic[[#This Row],[RP
(CFM/PER PERSON)]]</f>
        <v>250</v>
      </c>
      <c r="O6" s="100">
        <f>Ahu_Ashrae_Generic[[#This Row],[RA
(CFM/FT²)]]*Ahu_Ashrae_Generic[[#This Row],[AREA (FT²)]]</f>
        <v>33</v>
      </c>
      <c r="P6" s="100">
        <f>VLOOKUP(Ahu_Ashrae_Generic[[#This Row],[Occupancy Category]],Ashrae90.1Vent[#All],5,FALSE)</f>
        <v>1</v>
      </c>
      <c r="Q6" s="100">
        <f>CEILING((M6/1000)*D6,1)</f>
        <v>28</v>
      </c>
      <c r="R6" s="102">
        <f>IF(($R$1/Ahu_Ashrae_Generic[[#Totals],[Occupants (Pz)]])&gt;1,1,$R$1/Ahu_Ashrae_Generic[[#Totals],[Occupants (Pz)]])</f>
        <v>1</v>
      </c>
      <c r="S6" s="101">
        <f>(Ahu_Ashrae_Generic[[#This Row],[DIVERSITY (D)]]*Ahu_Ashrae_Generic[[#This Row],[RP
(CFM/PER PERSON)]]*Ahu_Ashrae_Generic[[#This Row],[Occupants (Pz)]])+(Ahu_Ashrae_Generic[[#This Row],[RA
(CFM/FT²)]]*Ahu_Ashrae_Generic[[#This Row],[AREA (FT²)]])</f>
        <v>173</v>
      </c>
      <c r="T6" s="102">
        <v>0.65624675324675319</v>
      </c>
      <c r="U6" s="101">
        <f>Ahu_Ashrae_Generic[[#This Row],[Uncorrected OA (Vou)]]/Ahu_Ashrae_Generic[[#This Row],[System Efficiency (Ev)]]</f>
        <v>263.6203518632127</v>
      </c>
      <c r="V6" s="101">
        <f>(Ahu_Ashrae_Generic[[#This Row],[RP
(CFM/PER PERSON)]]*Ahu_Ashrae_Generic[[#This Row],[Occupants (Pz)]])+(Ahu_Ashrae_Generic[[#This Row],[RA
(CFM/FT²)]]*Ahu_Ashrae_Generic[[#This Row],[AREA (FT²)]])</f>
        <v>173</v>
      </c>
      <c r="W6" s="315">
        <v>0.8</v>
      </c>
      <c r="X6" s="101">
        <f>Ahu_Ashrae_Generic[[#This Row],[Breathing Zone OA (Vbz)]]/Ahu_Ashrae_Generic[[#This Row],[Zone Efficiency (Ez)]]</f>
        <v>216.25</v>
      </c>
      <c r="Y6" s="314" t="s">
        <v>49</v>
      </c>
      <c r="Z6" s="100" t="str" cm="1">
        <f t="array" aca="1" ref="Z6" ca="1">co2requirement(Ahu_Ashrae_Generic[[#This Row],[AREA (FT²)]],Ahu_Ashrae_Generic[[#This Row],[EXHAUST RECOVERY]],INPUT_OUTPUTS!$C$6,Ahu_Ashrae_Generic[[#This Row],[Occupant Component]])</f>
        <v>YES</v>
      </c>
      <c r="AA6" s="101" t="str">
        <f>VLOOKUP(Ahu_Ashrae_Generic[[#This Row],[Occupancy Category]],Ashrae90.1Vent[#All],6,FALSE)</f>
        <v>YES</v>
      </c>
      <c r="AB6" s="101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6" s="145">
        <v>0</v>
      </c>
      <c r="AD6" s="101" t="str">
        <f>IF(Ahu_Ashrae_Generic[[#This Row],[Exhaust Category]] = "NOT APPLICABLE","NR","YES")</f>
        <v>NR</v>
      </c>
      <c r="AE6" s="101" t="str">
        <f>IF(Ahu_Ashrae_Generic[[#This Row],[Exhaust Category]]="NOT APPLICABLE","NA",VLOOKUP(Ahu_Ashrae_Generic[[#This Row],[Exhaust Category]],ASHRAE_EA_Table[#All],2,FALSE))</f>
        <v>NA</v>
      </c>
      <c r="AF6" s="101" t="str">
        <f>IF(Ahu_Ashrae_Generic[[#This Row],[Exhaust Category]]="NOT APPLICABLE","NA",VLOOKUP(Ahu_Ashrae_Generic[[#This Row],[Exhaust Category]],ASHRAE_EA_Table[#All],3,FALSE))</f>
        <v>NA</v>
      </c>
      <c r="AG6" s="100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0</v>
      </c>
      <c r="AH6" s="101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325</v>
      </c>
      <c r="AI6" s="101" cm="1">
        <f t="array" aca="1" ref="AI6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Room]])</f>
        <v>550</v>
      </c>
      <c r="AJ6" s="145">
        <f ca="1">Ahu_Ashrae_Generic[[#This Row],[Calculated VAV Max CFM]]</f>
        <v>550</v>
      </c>
      <c r="AK6" s="98" cm="1">
        <f t="array" aca="1" ref="AK6" ca="1">Returnair(Ahu_Ashrae_Generic[[#This Row],[Calculated VAV Max CFM]],Ahu_Ashrae_Generic[[#This Row],[Desired Room Balance]],Ahu_Ashrae_Generic[[#This Row],[Exhausted?]],Ahu_Ashrae_Generic[[#This Row],[Misc Exhaust From Room]])</f>
        <v>550</v>
      </c>
      <c r="AL6" s="98" cm="1">
        <f t="array" aca="1" ref="AL6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0</v>
      </c>
      <c r="AM6" s="101">
        <f ca="1">Ahu_Ashrae_Generic[[#This Row],[DESIGN VAV MAX SA(CFM)]]-Ahu_Ashrae_Generic[[#This Row],[DESIGN RA (CFM)]]-Ahu_Ashrae_Generic[[#This Row],[DESIGN EA(CFM)]]</f>
        <v>0</v>
      </c>
      <c r="AN6" s="70">
        <f ca="1">Ahu_Ashrae_Generic[[#This Row],[OUTSIDE AIRFLOW (CFM) (Vot)]]/Ahu_Ashrae_Generic[[#This Row],[DESIGN VAV MAX SA(CFM)]]</f>
        <v>0.47930973066038673</v>
      </c>
    </row>
    <row r="7" spans="1:40" ht="15.6">
      <c r="A7" s="98" t="s">
        <v>103</v>
      </c>
      <c r="B7" s="98">
        <v>102</v>
      </c>
      <c r="C7" s="98" t="s">
        <v>748</v>
      </c>
      <c r="D7" s="98">
        <v>550</v>
      </c>
      <c r="E7" s="98">
        <v>-50</v>
      </c>
      <c r="F7" s="98">
        <v>4</v>
      </c>
      <c r="G7" s="117">
        <f>IF((VLOOKUP(Ahu_Ashrae_Generic[[#This Row],[Occupancy Category]],Ashrae90.1Vent[#All],7,FALSE)) = "YES",MROUND(D7/2,5),MROUND(D7,5))</f>
        <v>275</v>
      </c>
      <c r="H7" s="98">
        <v>300</v>
      </c>
      <c r="I7" s="98" t="s">
        <v>72</v>
      </c>
      <c r="J7" s="98" t="s">
        <v>104</v>
      </c>
      <c r="K7" s="100">
        <f>VLOOKUP(Ahu_Ashrae_Generic[[#This Row],[Occupancy Category]],Ashrae90.1Vent[#All],2,FALSE)</f>
        <v>0</v>
      </c>
      <c r="L7" s="100">
        <f>VLOOKUP(Ahu_Ashrae_Generic[[#This Row],[Occupancy Category]],Ashrae90.1Vent[#All],3,FALSE)</f>
        <v>0</v>
      </c>
      <c r="M7" s="100">
        <f>VLOOKUP(Ahu_Ashrae_Generic[[#This Row],[Occupancy Category]],Ashrae90.1Vent[#All],4,FALSE)</f>
        <v>0</v>
      </c>
      <c r="N7" s="100">
        <f>Ahu_Ashrae_Generic[[#This Row],[OCCUPANT DENSITY
('#/1000 FT²)]]*Ahu_Ashrae_Generic[[#This Row],[RP
(CFM/PER PERSON)]]</f>
        <v>0</v>
      </c>
      <c r="O7" s="100">
        <f>Ahu_Ashrae_Generic[[#This Row],[RA
(CFM/FT²)]]*Ahu_Ashrae_Generic[[#This Row],[AREA (FT²)]]</f>
        <v>0</v>
      </c>
      <c r="P7" s="100">
        <f>VLOOKUP(Ahu_Ashrae_Generic[[#This Row],[Occupancy Category]],Ashrae90.1Vent[#All],5,FALSE)</f>
        <v>2</v>
      </c>
      <c r="Q7" s="100">
        <f t="shared" ref="Q7:Q17" si="0">CEILING((M7/1000)*D7,1)</f>
        <v>0</v>
      </c>
      <c r="R7" s="102">
        <f>IF(($R$1/Ahu_Ashrae_Generic[[#Totals],[Occupants (Pz)]])&gt;1,1,$R$1/Ahu_Ashrae_Generic[[#Totals],[Occupants (Pz)]])</f>
        <v>1</v>
      </c>
      <c r="S7" s="101">
        <f>(Ahu_Ashrae_Generic[[#This Row],[DIVERSITY (D)]]*Ahu_Ashrae_Generic[[#This Row],[RP
(CFM/PER PERSON)]]*Ahu_Ashrae_Generic[[#This Row],[Occupants (Pz)]])+(Ahu_Ashrae_Generic[[#This Row],[RA
(CFM/FT²)]]*Ahu_Ashrae_Generic[[#This Row],[AREA (FT²)]])</f>
        <v>0</v>
      </c>
      <c r="T7" s="102">
        <v>0.65624675324675319</v>
      </c>
      <c r="U7" s="101">
        <f>Ahu_Ashrae_Generic[[#This Row],[Uncorrected OA (Vou)]]/Ahu_Ashrae_Generic[[#This Row],[System Efficiency (Ev)]]</f>
        <v>0</v>
      </c>
      <c r="V7" s="101">
        <f>(Ahu_Ashrae_Generic[[#This Row],[RP
(CFM/PER PERSON)]]*Ahu_Ashrae_Generic[[#This Row],[Occupants (Pz)]])+(Ahu_Ashrae_Generic[[#This Row],[RA
(CFM/FT²)]]*Ahu_Ashrae_Generic[[#This Row],[AREA (FT²)]])</f>
        <v>0</v>
      </c>
      <c r="W7" s="98">
        <v>0.8</v>
      </c>
      <c r="X7" s="101">
        <f>Ahu_Ashrae_Generic[[#This Row],[Breathing Zone OA (Vbz)]]/Ahu_Ashrae_Generic[[#This Row],[Zone Efficiency (Ez)]]</f>
        <v>0</v>
      </c>
      <c r="Y7" s="314" t="s">
        <v>49</v>
      </c>
      <c r="Z7" s="100" t="str" cm="1">
        <f t="array" aca="1" ref="Z7" ca="1">co2requirement(Ahu_Ashrae_Generic[[#This Row],[AREA (FT²)]],Ahu_Ashrae_Generic[[#This Row],[EXHAUST RECOVERY]],INPUT_OUTPUTS!$C$6,Ahu_Ashrae_Generic[[#This Row],[Occupant Component]])</f>
        <v>NO</v>
      </c>
      <c r="AA7" s="101" t="str">
        <f>VLOOKUP(Ahu_Ashrae_Generic[[#This Row],[Occupancy Category]],Ashrae90.1Vent[#All],6,FALSE)</f>
        <v>NO</v>
      </c>
      <c r="AB7" s="101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7" s="145">
        <v>0</v>
      </c>
      <c r="AD7" s="101" t="str">
        <f>IF(Ahu_Ashrae_Generic[[#This Row],[Exhaust Category]] = "NOT APPLICABLE","NR","YES")</f>
        <v>YES</v>
      </c>
      <c r="AE7" s="101">
        <f>IF(Ahu_Ashrae_Generic[[#This Row],[Exhaust Category]]="NOT APPLICABLE","NA",VLOOKUP(Ahu_Ashrae_Generic[[#This Row],[Exhaust Category]],ASHRAE_EA_Table[#All],2,FALSE))</f>
        <v>50</v>
      </c>
      <c r="AF7" s="101">
        <f>IF(Ahu_Ashrae_Generic[[#This Row],[Exhaust Category]]="NOT APPLICABLE","NA",VLOOKUP(Ahu_Ashrae_Generic[[#This Row],[Exhaust Category]],ASHRAE_EA_Table[#All],3,FALSE))</f>
        <v>0</v>
      </c>
      <c r="AG7" s="100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200</v>
      </c>
      <c r="AH7" s="101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300</v>
      </c>
      <c r="AI7" s="101" cm="1">
        <f t="array" aca="1" ref="AI7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Room]])</f>
        <v>300</v>
      </c>
      <c r="AJ7" s="145">
        <f ca="1">Ahu_Ashrae_Generic[[#This Row],[Calculated VAV Max CFM]]</f>
        <v>300</v>
      </c>
      <c r="AK7" s="98" cm="1">
        <f t="array" aca="1" ref="AK7" ca="1">Returnair(Ahu_Ashrae_Generic[[#This Row],[Calculated VAV Max CFM]],Ahu_Ashrae_Generic[[#This Row],[Desired Room Balance]],Ahu_Ashrae_Generic[[#This Row],[Exhausted?]],Ahu_Ashrae_Generic[[#This Row],[Misc Exhaust From Room]])</f>
        <v>0</v>
      </c>
      <c r="AL7" s="98" cm="1">
        <f t="array" aca="1" ref="AL7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350</v>
      </c>
      <c r="AM7" s="101">
        <f ca="1">Ahu_Ashrae_Generic[[#This Row],[DESIGN VAV MAX SA(CFM)]]-Ahu_Ashrae_Generic[[#This Row],[DESIGN RA (CFM)]]-Ahu_Ashrae_Generic[[#This Row],[DESIGN EA(CFM)]]</f>
        <v>-50</v>
      </c>
      <c r="AN7" s="70">
        <f ca="1">Ahu_Ashrae_Generic[[#This Row],[OUTSIDE AIRFLOW (CFM) (Vot)]]/Ahu_Ashrae_Generic[[#This Row],[DESIGN VAV MAX SA(CFM)]]</f>
        <v>0</v>
      </c>
    </row>
    <row r="8" spans="1:40" ht="15.6">
      <c r="A8" s="98" t="s">
        <v>103</v>
      </c>
      <c r="B8" s="98">
        <v>102</v>
      </c>
      <c r="C8" s="98" t="s">
        <v>748</v>
      </c>
      <c r="D8" s="98">
        <v>550</v>
      </c>
      <c r="E8" s="98">
        <v>-50</v>
      </c>
      <c r="F8" s="98">
        <v>4</v>
      </c>
      <c r="G8" s="117">
        <f>IF((VLOOKUP(Ahu_Ashrae_Generic[[#This Row],[Occupancy Category]],Ashrae90.1Vent[#All],7,FALSE)) = "YES",MROUND(D8/2,5),MROUND(D8,5))</f>
        <v>275</v>
      </c>
      <c r="H8" s="98">
        <v>300</v>
      </c>
      <c r="I8" s="98" t="s">
        <v>72</v>
      </c>
      <c r="J8" s="98" t="s">
        <v>104</v>
      </c>
      <c r="K8" s="100">
        <f>VLOOKUP(Ahu_Ashrae_Generic[[#This Row],[Occupancy Category]],Ashrae90.1Vent[#All],2,FALSE)</f>
        <v>0</v>
      </c>
      <c r="L8" s="100">
        <f>VLOOKUP(Ahu_Ashrae_Generic[[#This Row],[Occupancy Category]],Ashrae90.1Vent[#All],3,FALSE)</f>
        <v>0</v>
      </c>
      <c r="M8" s="100">
        <f>VLOOKUP(Ahu_Ashrae_Generic[[#This Row],[Occupancy Category]],Ashrae90.1Vent[#All],4,FALSE)</f>
        <v>0</v>
      </c>
      <c r="N8" s="100">
        <f>Ahu_Ashrae_Generic[[#This Row],[OCCUPANT DENSITY
('#/1000 FT²)]]*Ahu_Ashrae_Generic[[#This Row],[RP
(CFM/PER PERSON)]]</f>
        <v>0</v>
      </c>
      <c r="O8" s="100">
        <f>Ahu_Ashrae_Generic[[#This Row],[RA
(CFM/FT²)]]*Ahu_Ashrae_Generic[[#This Row],[AREA (FT²)]]</f>
        <v>0</v>
      </c>
      <c r="P8" s="100">
        <f>VLOOKUP(Ahu_Ashrae_Generic[[#This Row],[Occupancy Category]],Ashrae90.1Vent[#All],5,FALSE)</f>
        <v>2</v>
      </c>
      <c r="Q8" s="100">
        <f t="shared" si="0"/>
        <v>0</v>
      </c>
      <c r="R8" s="102">
        <f>IF(($R$1/Ahu_Ashrae_Generic[[#Totals],[Occupants (Pz)]])&gt;1,1,$R$1/Ahu_Ashrae_Generic[[#Totals],[Occupants (Pz)]])</f>
        <v>1</v>
      </c>
      <c r="S8" s="101">
        <f>(Ahu_Ashrae_Generic[[#This Row],[DIVERSITY (D)]]*Ahu_Ashrae_Generic[[#This Row],[RP
(CFM/PER PERSON)]]*Ahu_Ashrae_Generic[[#This Row],[Occupants (Pz)]])+(Ahu_Ashrae_Generic[[#This Row],[RA
(CFM/FT²)]]*Ahu_Ashrae_Generic[[#This Row],[AREA (FT²)]])</f>
        <v>0</v>
      </c>
      <c r="T8" s="102">
        <v>0.65624675324675319</v>
      </c>
      <c r="U8" s="101">
        <f>Ahu_Ashrae_Generic[[#This Row],[Uncorrected OA (Vou)]]/Ahu_Ashrae_Generic[[#This Row],[System Efficiency (Ev)]]</f>
        <v>0</v>
      </c>
      <c r="V8" s="101">
        <f>(Ahu_Ashrae_Generic[[#This Row],[RP
(CFM/PER PERSON)]]*Ahu_Ashrae_Generic[[#This Row],[Occupants (Pz)]])+(Ahu_Ashrae_Generic[[#This Row],[RA
(CFM/FT²)]]*Ahu_Ashrae_Generic[[#This Row],[AREA (FT²)]])</f>
        <v>0</v>
      </c>
      <c r="W8" s="98">
        <v>0.8</v>
      </c>
      <c r="X8" s="101">
        <f>Ahu_Ashrae_Generic[[#This Row],[Breathing Zone OA (Vbz)]]/Ahu_Ashrae_Generic[[#This Row],[Zone Efficiency (Ez)]]</f>
        <v>0</v>
      </c>
      <c r="Y8" s="314" t="s">
        <v>49</v>
      </c>
      <c r="Z8" s="100" t="str" cm="1">
        <f t="array" aca="1" ref="Z8" ca="1">co2requirement(Ahu_Ashrae_Generic[[#This Row],[AREA (FT²)]],Ahu_Ashrae_Generic[[#This Row],[EXHAUST RECOVERY]],INPUT_OUTPUTS!$C$6,Ahu_Ashrae_Generic[[#This Row],[Occupant Component]])</f>
        <v>NO</v>
      </c>
      <c r="AA8" s="101" t="str">
        <f>VLOOKUP(Ahu_Ashrae_Generic[[#This Row],[Occupancy Category]],Ashrae90.1Vent[#All],6,FALSE)</f>
        <v>NO</v>
      </c>
      <c r="AB8" s="101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8" s="145">
        <v>0</v>
      </c>
      <c r="AD8" s="101" t="str">
        <f>IF(Ahu_Ashrae_Generic[[#This Row],[Exhaust Category]] = "NOT APPLICABLE","NR","YES")</f>
        <v>YES</v>
      </c>
      <c r="AE8" s="101">
        <f>IF(Ahu_Ashrae_Generic[[#This Row],[Exhaust Category]]="NOT APPLICABLE","NA",VLOOKUP(Ahu_Ashrae_Generic[[#This Row],[Exhaust Category]],ASHRAE_EA_Table[#All],2,FALSE))</f>
        <v>50</v>
      </c>
      <c r="AF8" s="101">
        <f>IF(Ahu_Ashrae_Generic[[#This Row],[Exhaust Category]]="NOT APPLICABLE","NA",VLOOKUP(Ahu_Ashrae_Generic[[#This Row],[Exhaust Category]],ASHRAE_EA_Table[#All],3,FALSE))</f>
        <v>0</v>
      </c>
      <c r="AG8" s="100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200</v>
      </c>
      <c r="AH8" s="101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300</v>
      </c>
      <c r="AI8" s="101" cm="1">
        <f t="array" aca="1" ref="AI8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Room]])</f>
        <v>300</v>
      </c>
      <c r="AJ8" s="145">
        <f ca="1">Ahu_Ashrae_Generic[[#This Row],[Calculated VAV Max CFM]]</f>
        <v>300</v>
      </c>
      <c r="AK8" s="98" cm="1">
        <f t="array" aca="1" ref="AK8" ca="1">Returnair(Ahu_Ashrae_Generic[[#This Row],[Calculated VAV Max CFM]],Ahu_Ashrae_Generic[[#This Row],[Desired Room Balance]],Ahu_Ashrae_Generic[[#This Row],[Exhausted?]],Ahu_Ashrae_Generic[[#This Row],[Misc Exhaust From Room]])</f>
        <v>0</v>
      </c>
      <c r="AL8" s="98" cm="1">
        <f t="array" aca="1" ref="AL8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350</v>
      </c>
      <c r="AM8" s="101">
        <f ca="1">Ahu_Ashrae_Generic[[#This Row],[DESIGN VAV MAX SA(CFM)]]-Ahu_Ashrae_Generic[[#This Row],[DESIGN RA (CFM)]]-Ahu_Ashrae_Generic[[#This Row],[DESIGN EA(CFM)]]</f>
        <v>-50</v>
      </c>
      <c r="AN8" s="70">
        <f ca="1">Ahu_Ashrae_Generic[[#This Row],[OUTSIDE AIRFLOW (CFM) (Vot)]]/Ahu_Ashrae_Generic[[#This Row],[DESIGN VAV MAX SA(CFM)]]</f>
        <v>0</v>
      </c>
    </row>
    <row r="9" spans="1:40" ht="15.6">
      <c r="A9" s="98" t="s">
        <v>103</v>
      </c>
      <c r="B9" s="98">
        <v>102</v>
      </c>
      <c r="C9" s="98" t="s">
        <v>748</v>
      </c>
      <c r="D9" s="98">
        <v>550</v>
      </c>
      <c r="E9" s="98">
        <v>-50</v>
      </c>
      <c r="F9" s="98">
        <v>4</v>
      </c>
      <c r="G9" s="117">
        <f>IF((VLOOKUP(Ahu_Ashrae_Generic[[#This Row],[Occupancy Category]],Ashrae90.1Vent[#All],7,FALSE)) = "YES",MROUND(D9/2,5),MROUND(D9,5))</f>
        <v>275</v>
      </c>
      <c r="H9" s="98">
        <v>300</v>
      </c>
      <c r="I9" s="98" t="s">
        <v>72</v>
      </c>
      <c r="J9" s="98" t="s">
        <v>104</v>
      </c>
      <c r="K9" s="100">
        <f>VLOOKUP(Ahu_Ashrae_Generic[[#This Row],[Occupancy Category]],Ashrae90.1Vent[#All],2,FALSE)</f>
        <v>0</v>
      </c>
      <c r="L9" s="100">
        <f>VLOOKUP(Ahu_Ashrae_Generic[[#This Row],[Occupancy Category]],Ashrae90.1Vent[#All],3,FALSE)</f>
        <v>0</v>
      </c>
      <c r="M9" s="100">
        <f>VLOOKUP(Ahu_Ashrae_Generic[[#This Row],[Occupancy Category]],Ashrae90.1Vent[#All],4,FALSE)</f>
        <v>0</v>
      </c>
      <c r="N9" s="100">
        <f>Ahu_Ashrae_Generic[[#This Row],[OCCUPANT DENSITY
('#/1000 FT²)]]*Ahu_Ashrae_Generic[[#This Row],[RP
(CFM/PER PERSON)]]</f>
        <v>0</v>
      </c>
      <c r="O9" s="100">
        <f>Ahu_Ashrae_Generic[[#This Row],[RA
(CFM/FT²)]]*Ahu_Ashrae_Generic[[#This Row],[AREA (FT²)]]</f>
        <v>0</v>
      </c>
      <c r="P9" s="100">
        <f>VLOOKUP(Ahu_Ashrae_Generic[[#This Row],[Occupancy Category]],Ashrae90.1Vent[#All],5,FALSE)</f>
        <v>2</v>
      </c>
      <c r="Q9" s="100">
        <f t="shared" si="0"/>
        <v>0</v>
      </c>
      <c r="R9" s="102">
        <f>IF(($R$1/Ahu_Ashrae_Generic[[#Totals],[Occupants (Pz)]])&gt;1,1,$R$1/Ahu_Ashrae_Generic[[#Totals],[Occupants (Pz)]])</f>
        <v>1</v>
      </c>
      <c r="S9" s="101">
        <f>(Ahu_Ashrae_Generic[[#This Row],[DIVERSITY (D)]]*Ahu_Ashrae_Generic[[#This Row],[RP
(CFM/PER PERSON)]]*Ahu_Ashrae_Generic[[#This Row],[Occupants (Pz)]])+(Ahu_Ashrae_Generic[[#This Row],[RA
(CFM/FT²)]]*Ahu_Ashrae_Generic[[#This Row],[AREA (FT²)]])</f>
        <v>0</v>
      </c>
      <c r="T9" s="102">
        <v>0.65624675324675319</v>
      </c>
      <c r="U9" s="101">
        <f>Ahu_Ashrae_Generic[[#This Row],[Uncorrected OA (Vou)]]/Ahu_Ashrae_Generic[[#This Row],[System Efficiency (Ev)]]</f>
        <v>0</v>
      </c>
      <c r="V9" s="101">
        <f>(Ahu_Ashrae_Generic[[#This Row],[RP
(CFM/PER PERSON)]]*Ahu_Ashrae_Generic[[#This Row],[Occupants (Pz)]])+(Ahu_Ashrae_Generic[[#This Row],[RA
(CFM/FT²)]]*Ahu_Ashrae_Generic[[#This Row],[AREA (FT²)]])</f>
        <v>0</v>
      </c>
      <c r="W9" s="98">
        <v>0.8</v>
      </c>
      <c r="X9" s="101">
        <f>Ahu_Ashrae_Generic[[#This Row],[Breathing Zone OA (Vbz)]]/Ahu_Ashrae_Generic[[#This Row],[Zone Efficiency (Ez)]]</f>
        <v>0</v>
      </c>
      <c r="Y9" s="314" t="s">
        <v>49</v>
      </c>
      <c r="Z9" s="100" t="str" cm="1">
        <f t="array" aca="1" ref="Z9" ca="1">co2requirement(Ahu_Ashrae_Generic[[#This Row],[AREA (FT²)]],Ahu_Ashrae_Generic[[#This Row],[EXHAUST RECOVERY]],INPUT_OUTPUTS!$C$6,Ahu_Ashrae_Generic[[#This Row],[Occupant Component]])</f>
        <v>NO</v>
      </c>
      <c r="AA9" s="101" t="str">
        <f>VLOOKUP(Ahu_Ashrae_Generic[[#This Row],[Occupancy Category]],Ashrae90.1Vent[#All],6,FALSE)</f>
        <v>NO</v>
      </c>
      <c r="AB9" s="101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9" s="145">
        <v>0</v>
      </c>
      <c r="AD9" s="101" t="str">
        <f>IF(Ahu_Ashrae_Generic[[#This Row],[Exhaust Category]] = "NOT APPLICABLE","NR","YES")</f>
        <v>YES</v>
      </c>
      <c r="AE9" s="101">
        <f>IF(Ahu_Ashrae_Generic[[#This Row],[Exhaust Category]]="NOT APPLICABLE","NA",VLOOKUP(Ahu_Ashrae_Generic[[#This Row],[Exhaust Category]],ASHRAE_EA_Table[#All],2,FALSE))</f>
        <v>50</v>
      </c>
      <c r="AF9" s="101">
        <f>IF(Ahu_Ashrae_Generic[[#This Row],[Exhaust Category]]="NOT APPLICABLE","NA",VLOOKUP(Ahu_Ashrae_Generic[[#This Row],[Exhaust Category]],ASHRAE_EA_Table[#All],3,FALSE))</f>
        <v>0</v>
      </c>
      <c r="AG9" s="100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200</v>
      </c>
      <c r="AH9" s="101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300</v>
      </c>
      <c r="AI9" s="101" cm="1">
        <f t="array" aca="1" ref="AI9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Room]])</f>
        <v>300</v>
      </c>
      <c r="AJ9" s="145">
        <f ca="1">Ahu_Ashrae_Generic[[#This Row],[Calculated VAV Max CFM]]</f>
        <v>300</v>
      </c>
      <c r="AK9" s="98" cm="1">
        <f t="array" aca="1" ref="AK9" ca="1">Returnair(Ahu_Ashrae_Generic[[#This Row],[Calculated VAV Max CFM]],Ahu_Ashrae_Generic[[#This Row],[Desired Room Balance]],Ahu_Ashrae_Generic[[#This Row],[Exhausted?]],Ahu_Ashrae_Generic[[#This Row],[Misc Exhaust From Room]])</f>
        <v>0</v>
      </c>
      <c r="AL9" s="98" cm="1">
        <f t="array" aca="1" ref="AL9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350</v>
      </c>
      <c r="AM9" s="101">
        <f ca="1">Ahu_Ashrae_Generic[[#This Row],[DESIGN VAV MAX SA(CFM)]]-Ahu_Ashrae_Generic[[#This Row],[DESIGN RA (CFM)]]-Ahu_Ashrae_Generic[[#This Row],[DESIGN EA(CFM)]]</f>
        <v>-50</v>
      </c>
      <c r="AN9" s="70">
        <f ca="1">Ahu_Ashrae_Generic[[#This Row],[OUTSIDE AIRFLOW (CFM) (Vot)]]/Ahu_Ashrae_Generic[[#This Row],[DESIGN VAV MAX SA(CFM)]]</f>
        <v>0</v>
      </c>
    </row>
    <row r="10" spans="1:40" ht="15.6">
      <c r="A10" s="98" t="s">
        <v>103</v>
      </c>
      <c r="B10" s="98">
        <v>102</v>
      </c>
      <c r="C10" s="98" t="s">
        <v>748</v>
      </c>
      <c r="D10" s="98">
        <v>550</v>
      </c>
      <c r="E10" s="98">
        <v>-50</v>
      </c>
      <c r="F10" s="98">
        <v>4</v>
      </c>
      <c r="G10" s="117">
        <f>IF((VLOOKUP(Ahu_Ashrae_Generic[[#This Row],[Occupancy Category]],Ashrae90.1Vent[#All],7,FALSE)) = "YES",MROUND(D10/2,5),MROUND(D10,5))</f>
        <v>275</v>
      </c>
      <c r="H10" s="98">
        <v>300</v>
      </c>
      <c r="I10" s="98" t="s">
        <v>72</v>
      </c>
      <c r="J10" s="98" t="s">
        <v>104</v>
      </c>
      <c r="K10" s="100">
        <f>VLOOKUP(Ahu_Ashrae_Generic[[#This Row],[Occupancy Category]],Ashrae90.1Vent[#All],2,FALSE)</f>
        <v>0</v>
      </c>
      <c r="L10" s="100">
        <f>VLOOKUP(Ahu_Ashrae_Generic[[#This Row],[Occupancy Category]],Ashrae90.1Vent[#All],3,FALSE)</f>
        <v>0</v>
      </c>
      <c r="M10" s="100">
        <f>VLOOKUP(Ahu_Ashrae_Generic[[#This Row],[Occupancy Category]],Ashrae90.1Vent[#All],4,FALSE)</f>
        <v>0</v>
      </c>
      <c r="N10" s="100">
        <f>Ahu_Ashrae_Generic[[#This Row],[OCCUPANT DENSITY
('#/1000 FT²)]]*Ahu_Ashrae_Generic[[#This Row],[RP
(CFM/PER PERSON)]]</f>
        <v>0</v>
      </c>
      <c r="O10" s="100">
        <f>Ahu_Ashrae_Generic[[#This Row],[RA
(CFM/FT²)]]*Ahu_Ashrae_Generic[[#This Row],[AREA (FT²)]]</f>
        <v>0</v>
      </c>
      <c r="P10" s="100">
        <f>VLOOKUP(Ahu_Ashrae_Generic[[#This Row],[Occupancy Category]],Ashrae90.1Vent[#All],5,FALSE)</f>
        <v>2</v>
      </c>
      <c r="Q10" s="100">
        <f t="shared" si="0"/>
        <v>0</v>
      </c>
      <c r="R10" s="102">
        <f>IF(($R$1/Ahu_Ashrae_Generic[[#Totals],[Occupants (Pz)]])&gt;1,1,$R$1/Ahu_Ashrae_Generic[[#Totals],[Occupants (Pz)]])</f>
        <v>1</v>
      </c>
      <c r="S10" s="101">
        <f>(Ahu_Ashrae_Generic[[#This Row],[DIVERSITY (D)]]*Ahu_Ashrae_Generic[[#This Row],[RP
(CFM/PER PERSON)]]*Ahu_Ashrae_Generic[[#This Row],[Occupants (Pz)]])+(Ahu_Ashrae_Generic[[#This Row],[RA
(CFM/FT²)]]*Ahu_Ashrae_Generic[[#This Row],[AREA (FT²)]])</f>
        <v>0</v>
      </c>
      <c r="T10" s="102">
        <v>0.65624675324675319</v>
      </c>
      <c r="U10" s="101">
        <f>Ahu_Ashrae_Generic[[#This Row],[Uncorrected OA (Vou)]]/Ahu_Ashrae_Generic[[#This Row],[System Efficiency (Ev)]]</f>
        <v>0</v>
      </c>
      <c r="V10" s="101">
        <f>(Ahu_Ashrae_Generic[[#This Row],[RP
(CFM/PER PERSON)]]*Ahu_Ashrae_Generic[[#This Row],[Occupants (Pz)]])+(Ahu_Ashrae_Generic[[#This Row],[RA
(CFM/FT²)]]*Ahu_Ashrae_Generic[[#This Row],[AREA (FT²)]])</f>
        <v>0</v>
      </c>
      <c r="W10" s="98">
        <v>0.8</v>
      </c>
      <c r="X10" s="101">
        <f>Ahu_Ashrae_Generic[[#This Row],[Breathing Zone OA (Vbz)]]/Ahu_Ashrae_Generic[[#This Row],[Zone Efficiency (Ez)]]</f>
        <v>0</v>
      </c>
      <c r="Y10" s="314" t="s">
        <v>49</v>
      </c>
      <c r="Z10" s="100" t="str" cm="1">
        <f t="array" aca="1" ref="Z10" ca="1">co2requirement(Ahu_Ashrae_Generic[[#This Row],[AREA (FT²)]],Ahu_Ashrae_Generic[[#This Row],[EXHAUST RECOVERY]],INPUT_OUTPUTS!$C$6,Ahu_Ashrae_Generic[[#This Row],[Occupant Component]])</f>
        <v>NO</v>
      </c>
      <c r="AA10" s="101" t="str">
        <f>VLOOKUP(Ahu_Ashrae_Generic[[#This Row],[Occupancy Category]],Ashrae90.1Vent[#All],6,FALSE)</f>
        <v>NO</v>
      </c>
      <c r="AB10" s="101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10" s="145">
        <v>0</v>
      </c>
      <c r="AD10" s="101" t="str">
        <f>IF(Ahu_Ashrae_Generic[[#This Row],[Exhaust Category]] = "NOT APPLICABLE","NR","YES")</f>
        <v>YES</v>
      </c>
      <c r="AE10" s="101">
        <f>IF(Ahu_Ashrae_Generic[[#This Row],[Exhaust Category]]="NOT APPLICABLE","NA",VLOOKUP(Ahu_Ashrae_Generic[[#This Row],[Exhaust Category]],ASHRAE_EA_Table[#All],2,FALSE))</f>
        <v>50</v>
      </c>
      <c r="AF10" s="101">
        <f>IF(Ahu_Ashrae_Generic[[#This Row],[Exhaust Category]]="NOT APPLICABLE","NA",VLOOKUP(Ahu_Ashrae_Generic[[#This Row],[Exhaust Category]],ASHRAE_EA_Table[#All],3,FALSE))</f>
        <v>0</v>
      </c>
      <c r="AG10" s="100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200</v>
      </c>
      <c r="AH10" s="101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300</v>
      </c>
      <c r="AI10" s="101" cm="1">
        <f t="array" aca="1" ref="AI10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Room]])</f>
        <v>300</v>
      </c>
      <c r="AJ10" s="145">
        <f ca="1">Ahu_Ashrae_Generic[[#This Row],[Calculated VAV Max CFM]]</f>
        <v>300</v>
      </c>
      <c r="AK10" s="98" cm="1">
        <f t="array" aca="1" ref="AK10" ca="1">Returnair(Ahu_Ashrae_Generic[[#This Row],[Calculated VAV Max CFM]],Ahu_Ashrae_Generic[[#This Row],[Desired Room Balance]],Ahu_Ashrae_Generic[[#This Row],[Exhausted?]],Ahu_Ashrae_Generic[[#This Row],[Misc Exhaust From Room]])</f>
        <v>0</v>
      </c>
      <c r="AL10" s="98" cm="1">
        <f t="array" aca="1" ref="AL10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350</v>
      </c>
      <c r="AM10" s="101">
        <f ca="1">Ahu_Ashrae_Generic[[#This Row],[DESIGN VAV MAX SA(CFM)]]-Ahu_Ashrae_Generic[[#This Row],[DESIGN RA (CFM)]]-Ahu_Ashrae_Generic[[#This Row],[DESIGN EA(CFM)]]</f>
        <v>-50</v>
      </c>
      <c r="AN10" s="70">
        <f ca="1">Ahu_Ashrae_Generic[[#This Row],[OUTSIDE AIRFLOW (CFM) (Vot)]]/Ahu_Ashrae_Generic[[#This Row],[DESIGN VAV MAX SA(CFM)]]</f>
        <v>0</v>
      </c>
    </row>
    <row r="11" spans="1:40" ht="15.6">
      <c r="A11" s="98" t="s">
        <v>103</v>
      </c>
      <c r="B11" s="98">
        <v>102</v>
      </c>
      <c r="C11" s="98" t="s">
        <v>748</v>
      </c>
      <c r="D11" s="98">
        <v>550</v>
      </c>
      <c r="E11" s="98">
        <v>-50</v>
      </c>
      <c r="F11" s="98">
        <v>4</v>
      </c>
      <c r="G11" s="117">
        <f>IF((VLOOKUP(Ahu_Ashrae_Generic[[#This Row],[Occupancy Category]],Ashrae90.1Vent[#All],7,FALSE)) = "YES",MROUND(D11/2,5),MROUND(D11,5))</f>
        <v>275</v>
      </c>
      <c r="H11" s="98">
        <v>300</v>
      </c>
      <c r="I11" s="98" t="s">
        <v>72</v>
      </c>
      <c r="J11" s="98" t="s">
        <v>104</v>
      </c>
      <c r="K11" s="100">
        <f>VLOOKUP(Ahu_Ashrae_Generic[[#This Row],[Occupancy Category]],Ashrae90.1Vent[#All],2,FALSE)</f>
        <v>0</v>
      </c>
      <c r="L11" s="100">
        <f>VLOOKUP(Ahu_Ashrae_Generic[[#This Row],[Occupancy Category]],Ashrae90.1Vent[#All],3,FALSE)</f>
        <v>0</v>
      </c>
      <c r="M11" s="100">
        <f>VLOOKUP(Ahu_Ashrae_Generic[[#This Row],[Occupancy Category]],Ashrae90.1Vent[#All],4,FALSE)</f>
        <v>0</v>
      </c>
      <c r="N11" s="100">
        <f>Ahu_Ashrae_Generic[[#This Row],[OCCUPANT DENSITY
('#/1000 FT²)]]*Ahu_Ashrae_Generic[[#This Row],[RP
(CFM/PER PERSON)]]</f>
        <v>0</v>
      </c>
      <c r="O11" s="100">
        <f>Ahu_Ashrae_Generic[[#This Row],[RA
(CFM/FT²)]]*Ahu_Ashrae_Generic[[#This Row],[AREA (FT²)]]</f>
        <v>0</v>
      </c>
      <c r="P11" s="100">
        <f>VLOOKUP(Ahu_Ashrae_Generic[[#This Row],[Occupancy Category]],Ashrae90.1Vent[#All],5,FALSE)</f>
        <v>2</v>
      </c>
      <c r="Q11" s="100">
        <f t="shared" si="0"/>
        <v>0</v>
      </c>
      <c r="R11" s="102">
        <f>IF(($R$1/Ahu_Ashrae_Generic[[#Totals],[Occupants (Pz)]])&gt;1,1,$R$1/Ahu_Ashrae_Generic[[#Totals],[Occupants (Pz)]])</f>
        <v>1</v>
      </c>
      <c r="S11" s="101">
        <f>(Ahu_Ashrae_Generic[[#This Row],[DIVERSITY (D)]]*Ahu_Ashrae_Generic[[#This Row],[RP
(CFM/PER PERSON)]]*Ahu_Ashrae_Generic[[#This Row],[Occupants (Pz)]])+(Ahu_Ashrae_Generic[[#This Row],[RA
(CFM/FT²)]]*Ahu_Ashrae_Generic[[#This Row],[AREA (FT²)]])</f>
        <v>0</v>
      </c>
      <c r="T11" s="102">
        <v>0.65624675324675319</v>
      </c>
      <c r="U11" s="101">
        <f>Ahu_Ashrae_Generic[[#This Row],[Uncorrected OA (Vou)]]/Ahu_Ashrae_Generic[[#This Row],[System Efficiency (Ev)]]</f>
        <v>0</v>
      </c>
      <c r="V11" s="101">
        <f>(Ahu_Ashrae_Generic[[#This Row],[RP
(CFM/PER PERSON)]]*Ahu_Ashrae_Generic[[#This Row],[Occupants (Pz)]])+(Ahu_Ashrae_Generic[[#This Row],[RA
(CFM/FT²)]]*Ahu_Ashrae_Generic[[#This Row],[AREA (FT²)]])</f>
        <v>0</v>
      </c>
      <c r="W11" s="98">
        <v>0.8</v>
      </c>
      <c r="X11" s="101">
        <f>Ahu_Ashrae_Generic[[#This Row],[Breathing Zone OA (Vbz)]]/Ahu_Ashrae_Generic[[#This Row],[Zone Efficiency (Ez)]]</f>
        <v>0</v>
      </c>
      <c r="Y11" s="314" t="s">
        <v>49</v>
      </c>
      <c r="Z11" s="100" t="str" cm="1">
        <f t="array" aca="1" ref="Z11" ca="1">co2requirement(Ahu_Ashrae_Generic[[#This Row],[AREA (FT²)]],Ahu_Ashrae_Generic[[#This Row],[EXHAUST RECOVERY]],INPUT_OUTPUTS!$C$6,Ahu_Ashrae_Generic[[#This Row],[Occupant Component]])</f>
        <v>NO</v>
      </c>
      <c r="AA11" s="101" t="str">
        <f>VLOOKUP(Ahu_Ashrae_Generic[[#This Row],[Occupancy Category]],Ashrae90.1Vent[#All],6,FALSE)</f>
        <v>NO</v>
      </c>
      <c r="AB11" s="101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11" s="145">
        <v>0</v>
      </c>
      <c r="AD11" s="101" t="str">
        <f>IF(Ahu_Ashrae_Generic[[#This Row],[Exhaust Category]] = "NOT APPLICABLE","NR","YES")</f>
        <v>YES</v>
      </c>
      <c r="AE11" s="101">
        <f>IF(Ahu_Ashrae_Generic[[#This Row],[Exhaust Category]]="NOT APPLICABLE","NA",VLOOKUP(Ahu_Ashrae_Generic[[#This Row],[Exhaust Category]],ASHRAE_EA_Table[#All],2,FALSE))</f>
        <v>50</v>
      </c>
      <c r="AF11" s="101">
        <f>IF(Ahu_Ashrae_Generic[[#This Row],[Exhaust Category]]="NOT APPLICABLE","NA",VLOOKUP(Ahu_Ashrae_Generic[[#This Row],[Exhaust Category]],ASHRAE_EA_Table[#All],3,FALSE))</f>
        <v>0</v>
      </c>
      <c r="AG11" s="100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200</v>
      </c>
      <c r="AH11" s="101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300</v>
      </c>
      <c r="AI11" s="101" cm="1">
        <f t="array" aca="1" ref="AI11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Room]])</f>
        <v>300</v>
      </c>
      <c r="AJ11" s="145">
        <f ca="1">Ahu_Ashrae_Generic[[#This Row],[Calculated VAV Max CFM]]</f>
        <v>300</v>
      </c>
      <c r="AK11" s="98" cm="1">
        <f t="array" aca="1" ref="AK11" ca="1">Returnair(Ahu_Ashrae_Generic[[#This Row],[Calculated VAV Max CFM]],Ahu_Ashrae_Generic[[#This Row],[Desired Room Balance]],Ahu_Ashrae_Generic[[#This Row],[Exhausted?]],Ahu_Ashrae_Generic[[#This Row],[Misc Exhaust From Room]])</f>
        <v>0</v>
      </c>
      <c r="AL11" s="98" cm="1">
        <f t="array" aca="1" ref="AL11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350</v>
      </c>
      <c r="AM11" s="101">
        <f ca="1">Ahu_Ashrae_Generic[[#This Row],[DESIGN VAV MAX SA(CFM)]]-Ahu_Ashrae_Generic[[#This Row],[DESIGN RA (CFM)]]-Ahu_Ashrae_Generic[[#This Row],[DESIGN EA(CFM)]]</f>
        <v>-50</v>
      </c>
      <c r="AN11" s="70">
        <f ca="1">Ahu_Ashrae_Generic[[#This Row],[OUTSIDE AIRFLOW (CFM) (Vot)]]/Ahu_Ashrae_Generic[[#This Row],[DESIGN VAV MAX SA(CFM)]]</f>
        <v>0</v>
      </c>
    </row>
    <row r="12" spans="1:40" ht="15.6">
      <c r="A12" s="98" t="s">
        <v>103</v>
      </c>
      <c r="B12" s="98">
        <v>102</v>
      </c>
      <c r="C12" s="98" t="s">
        <v>748</v>
      </c>
      <c r="D12" s="98">
        <v>550</v>
      </c>
      <c r="E12" s="98">
        <v>-50</v>
      </c>
      <c r="F12" s="98">
        <v>4</v>
      </c>
      <c r="G12" s="117">
        <f>IF((VLOOKUP(Ahu_Ashrae_Generic[[#This Row],[Occupancy Category]],Ashrae90.1Vent[#All],7,FALSE)) = "YES",MROUND(D12/2,5),MROUND(D12,5))</f>
        <v>275</v>
      </c>
      <c r="H12" s="98">
        <v>300</v>
      </c>
      <c r="I12" s="98" t="s">
        <v>72</v>
      </c>
      <c r="J12" s="98" t="s">
        <v>104</v>
      </c>
      <c r="K12" s="100">
        <f>VLOOKUP(Ahu_Ashrae_Generic[[#This Row],[Occupancy Category]],Ashrae90.1Vent[#All],2,FALSE)</f>
        <v>0</v>
      </c>
      <c r="L12" s="100">
        <f>VLOOKUP(Ahu_Ashrae_Generic[[#This Row],[Occupancy Category]],Ashrae90.1Vent[#All],3,FALSE)</f>
        <v>0</v>
      </c>
      <c r="M12" s="100">
        <f>VLOOKUP(Ahu_Ashrae_Generic[[#This Row],[Occupancy Category]],Ashrae90.1Vent[#All],4,FALSE)</f>
        <v>0</v>
      </c>
      <c r="N12" s="100">
        <f>Ahu_Ashrae_Generic[[#This Row],[OCCUPANT DENSITY
('#/1000 FT²)]]*Ahu_Ashrae_Generic[[#This Row],[RP
(CFM/PER PERSON)]]</f>
        <v>0</v>
      </c>
      <c r="O12" s="100">
        <f>Ahu_Ashrae_Generic[[#This Row],[RA
(CFM/FT²)]]*Ahu_Ashrae_Generic[[#This Row],[AREA (FT²)]]</f>
        <v>0</v>
      </c>
      <c r="P12" s="100">
        <f>VLOOKUP(Ahu_Ashrae_Generic[[#This Row],[Occupancy Category]],Ashrae90.1Vent[#All],5,FALSE)</f>
        <v>2</v>
      </c>
      <c r="Q12" s="100">
        <f t="shared" si="0"/>
        <v>0</v>
      </c>
      <c r="R12" s="102">
        <f>IF(($R$1/Ahu_Ashrae_Generic[[#Totals],[Occupants (Pz)]])&gt;1,1,$R$1/Ahu_Ashrae_Generic[[#Totals],[Occupants (Pz)]])</f>
        <v>1</v>
      </c>
      <c r="S12" s="101">
        <f>(Ahu_Ashrae_Generic[[#This Row],[DIVERSITY (D)]]*Ahu_Ashrae_Generic[[#This Row],[RP
(CFM/PER PERSON)]]*Ahu_Ashrae_Generic[[#This Row],[Occupants (Pz)]])+(Ahu_Ashrae_Generic[[#This Row],[RA
(CFM/FT²)]]*Ahu_Ashrae_Generic[[#This Row],[AREA (FT²)]])</f>
        <v>0</v>
      </c>
      <c r="T12" s="102">
        <v>0.65624675324675319</v>
      </c>
      <c r="U12" s="101">
        <f>Ahu_Ashrae_Generic[[#This Row],[Uncorrected OA (Vou)]]/Ahu_Ashrae_Generic[[#This Row],[System Efficiency (Ev)]]</f>
        <v>0</v>
      </c>
      <c r="V12" s="101">
        <f>(Ahu_Ashrae_Generic[[#This Row],[RP
(CFM/PER PERSON)]]*Ahu_Ashrae_Generic[[#This Row],[Occupants (Pz)]])+(Ahu_Ashrae_Generic[[#This Row],[RA
(CFM/FT²)]]*Ahu_Ashrae_Generic[[#This Row],[AREA (FT²)]])</f>
        <v>0</v>
      </c>
      <c r="W12" s="98">
        <v>0.8</v>
      </c>
      <c r="X12" s="101">
        <f>Ahu_Ashrae_Generic[[#This Row],[Breathing Zone OA (Vbz)]]/Ahu_Ashrae_Generic[[#This Row],[Zone Efficiency (Ez)]]</f>
        <v>0</v>
      </c>
      <c r="Y12" s="314" t="s">
        <v>49</v>
      </c>
      <c r="Z12" s="100" t="str" cm="1">
        <f t="array" aca="1" ref="Z12" ca="1">co2requirement(Ahu_Ashrae_Generic[[#This Row],[AREA (FT²)]],Ahu_Ashrae_Generic[[#This Row],[EXHAUST RECOVERY]],INPUT_OUTPUTS!$C$6,Ahu_Ashrae_Generic[[#This Row],[Occupant Component]])</f>
        <v>NO</v>
      </c>
      <c r="AA12" s="101" t="str">
        <f>VLOOKUP(Ahu_Ashrae_Generic[[#This Row],[Occupancy Category]],Ashrae90.1Vent[#All],6,FALSE)</f>
        <v>NO</v>
      </c>
      <c r="AB12" s="101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12" s="145">
        <v>0</v>
      </c>
      <c r="AD12" s="101" t="str">
        <f>IF(Ahu_Ashrae_Generic[[#This Row],[Exhaust Category]] = "NOT APPLICABLE","NR","YES")</f>
        <v>YES</v>
      </c>
      <c r="AE12" s="101">
        <f>IF(Ahu_Ashrae_Generic[[#This Row],[Exhaust Category]]="NOT APPLICABLE","NA",VLOOKUP(Ahu_Ashrae_Generic[[#This Row],[Exhaust Category]],ASHRAE_EA_Table[#All],2,FALSE))</f>
        <v>50</v>
      </c>
      <c r="AF12" s="101">
        <f>IF(Ahu_Ashrae_Generic[[#This Row],[Exhaust Category]]="NOT APPLICABLE","NA",VLOOKUP(Ahu_Ashrae_Generic[[#This Row],[Exhaust Category]],ASHRAE_EA_Table[#All],3,FALSE))</f>
        <v>0</v>
      </c>
      <c r="AG12" s="100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200</v>
      </c>
      <c r="AH12" s="101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300</v>
      </c>
      <c r="AI12" s="101" cm="1">
        <f t="array" aca="1" ref="AI12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Room]])</f>
        <v>300</v>
      </c>
      <c r="AJ12" s="145">
        <f ca="1">Ahu_Ashrae_Generic[[#This Row],[Calculated VAV Max CFM]]</f>
        <v>300</v>
      </c>
      <c r="AK12" s="98" cm="1">
        <f t="array" aca="1" ref="AK12" ca="1">Returnair(Ahu_Ashrae_Generic[[#This Row],[Calculated VAV Max CFM]],Ahu_Ashrae_Generic[[#This Row],[Desired Room Balance]],Ahu_Ashrae_Generic[[#This Row],[Exhausted?]],Ahu_Ashrae_Generic[[#This Row],[Misc Exhaust From Room]])</f>
        <v>0</v>
      </c>
      <c r="AL12" s="98" cm="1">
        <f t="array" aca="1" ref="AL12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350</v>
      </c>
      <c r="AM12" s="101">
        <f ca="1">Ahu_Ashrae_Generic[[#This Row],[DESIGN VAV MAX SA(CFM)]]-Ahu_Ashrae_Generic[[#This Row],[DESIGN RA (CFM)]]-Ahu_Ashrae_Generic[[#This Row],[DESIGN EA(CFM)]]</f>
        <v>-50</v>
      </c>
      <c r="AN12" s="70">
        <f ca="1">Ahu_Ashrae_Generic[[#This Row],[OUTSIDE AIRFLOW (CFM) (Vot)]]/Ahu_Ashrae_Generic[[#This Row],[DESIGN VAV MAX SA(CFM)]]</f>
        <v>0</v>
      </c>
    </row>
    <row r="13" spans="1:40" ht="15.6">
      <c r="A13" s="98" t="s">
        <v>103</v>
      </c>
      <c r="B13" s="98">
        <v>102</v>
      </c>
      <c r="C13" s="98" t="s">
        <v>748</v>
      </c>
      <c r="D13" s="98">
        <v>550</v>
      </c>
      <c r="E13" s="98">
        <v>-50</v>
      </c>
      <c r="F13" s="98">
        <v>4</v>
      </c>
      <c r="G13" s="117">
        <f>IF((VLOOKUP(Ahu_Ashrae_Generic[[#This Row],[Occupancy Category]],Ashrae90.1Vent[#All],7,FALSE)) = "YES",MROUND(D13/2,5),MROUND(D13,5))</f>
        <v>275</v>
      </c>
      <c r="H13" s="98">
        <v>300</v>
      </c>
      <c r="I13" s="98" t="s">
        <v>72</v>
      </c>
      <c r="J13" s="98" t="s">
        <v>104</v>
      </c>
      <c r="K13" s="100">
        <f>VLOOKUP(Ahu_Ashrae_Generic[[#This Row],[Occupancy Category]],Ashrae90.1Vent[#All],2,FALSE)</f>
        <v>0</v>
      </c>
      <c r="L13" s="100">
        <f>VLOOKUP(Ahu_Ashrae_Generic[[#This Row],[Occupancy Category]],Ashrae90.1Vent[#All],3,FALSE)</f>
        <v>0</v>
      </c>
      <c r="M13" s="100">
        <f>VLOOKUP(Ahu_Ashrae_Generic[[#This Row],[Occupancy Category]],Ashrae90.1Vent[#All],4,FALSE)</f>
        <v>0</v>
      </c>
      <c r="N13" s="100">
        <f>Ahu_Ashrae_Generic[[#This Row],[OCCUPANT DENSITY
('#/1000 FT²)]]*Ahu_Ashrae_Generic[[#This Row],[RP
(CFM/PER PERSON)]]</f>
        <v>0</v>
      </c>
      <c r="O13" s="100">
        <f>Ahu_Ashrae_Generic[[#This Row],[RA
(CFM/FT²)]]*Ahu_Ashrae_Generic[[#This Row],[AREA (FT²)]]</f>
        <v>0</v>
      </c>
      <c r="P13" s="100">
        <f>VLOOKUP(Ahu_Ashrae_Generic[[#This Row],[Occupancy Category]],Ashrae90.1Vent[#All],5,FALSE)</f>
        <v>2</v>
      </c>
      <c r="Q13" s="100">
        <f t="shared" si="0"/>
        <v>0</v>
      </c>
      <c r="R13" s="102">
        <f>IF(($R$1/Ahu_Ashrae_Generic[[#Totals],[Occupants (Pz)]])&gt;1,1,$R$1/Ahu_Ashrae_Generic[[#Totals],[Occupants (Pz)]])</f>
        <v>1</v>
      </c>
      <c r="S13" s="101">
        <f>(Ahu_Ashrae_Generic[[#This Row],[DIVERSITY (D)]]*Ahu_Ashrae_Generic[[#This Row],[RP
(CFM/PER PERSON)]]*Ahu_Ashrae_Generic[[#This Row],[Occupants (Pz)]])+(Ahu_Ashrae_Generic[[#This Row],[RA
(CFM/FT²)]]*Ahu_Ashrae_Generic[[#This Row],[AREA (FT²)]])</f>
        <v>0</v>
      </c>
      <c r="T13" s="102">
        <v>0.65624675324675319</v>
      </c>
      <c r="U13" s="101">
        <f>Ahu_Ashrae_Generic[[#This Row],[Uncorrected OA (Vou)]]/Ahu_Ashrae_Generic[[#This Row],[System Efficiency (Ev)]]</f>
        <v>0</v>
      </c>
      <c r="V13" s="101">
        <f>(Ahu_Ashrae_Generic[[#This Row],[RP
(CFM/PER PERSON)]]*Ahu_Ashrae_Generic[[#This Row],[Occupants (Pz)]])+(Ahu_Ashrae_Generic[[#This Row],[RA
(CFM/FT²)]]*Ahu_Ashrae_Generic[[#This Row],[AREA (FT²)]])</f>
        <v>0</v>
      </c>
      <c r="W13" s="98">
        <v>0.8</v>
      </c>
      <c r="X13" s="101">
        <f>Ahu_Ashrae_Generic[[#This Row],[Breathing Zone OA (Vbz)]]/Ahu_Ashrae_Generic[[#This Row],[Zone Efficiency (Ez)]]</f>
        <v>0</v>
      </c>
      <c r="Y13" s="314" t="s">
        <v>49</v>
      </c>
      <c r="Z13" s="100" t="str" cm="1">
        <f t="array" aca="1" ref="Z13" ca="1">co2requirement(Ahu_Ashrae_Generic[[#This Row],[AREA (FT²)]],Ahu_Ashrae_Generic[[#This Row],[EXHAUST RECOVERY]],INPUT_OUTPUTS!$C$6,Ahu_Ashrae_Generic[[#This Row],[Occupant Component]])</f>
        <v>NO</v>
      </c>
      <c r="AA13" s="101" t="str">
        <f>VLOOKUP(Ahu_Ashrae_Generic[[#This Row],[Occupancy Category]],Ashrae90.1Vent[#All],6,FALSE)</f>
        <v>NO</v>
      </c>
      <c r="AB13" s="101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13" s="145">
        <v>0</v>
      </c>
      <c r="AD13" s="101" t="str">
        <f>IF(Ahu_Ashrae_Generic[[#This Row],[Exhaust Category]] = "NOT APPLICABLE","NR","YES")</f>
        <v>YES</v>
      </c>
      <c r="AE13" s="101">
        <f>IF(Ahu_Ashrae_Generic[[#This Row],[Exhaust Category]]="NOT APPLICABLE","NA",VLOOKUP(Ahu_Ashrae_Generic[[#This Row],[Exhaust Category]],ASHRAE_EA_Table[#All],2,FALSE))</f>
        <v>50</v>
      </c>
      <c r="AF13" s="101">
        <f>IF(Ahu_Ashrae_Generic[[#This Row],[Exhaust Category]]="NOT APPLICABLE","NA",VLOOKUP(Ahu_Ashrae_Generic[[#This Row],[Exhaust Category]],ASHRAE_EA_Table[#All],3,FALSE))</f>
        <v>0</v>
      </c>
      <c r="AG13" s="100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200</v>
      </c>
      <c r="AH13" s="101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300</v>
      </c>
      <c r="AI13" s="101" cm="1">
        <f t="array" aca="1" ref="AI13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Room]])</f>
        <v>300</v>
      </c>
      <c r="AJ13" s="145">
        <f ca="1">Ahu_Ashrae_Generic[[#This Row],[Calculated VAV Max CFM]]</f>
        <v>300</v>
      </c>
      <c r="AK13" s="98" cm="1">
        <f t="array" aca="1" ref="AK13" ca="1">Returnair(Ahu_Ashrae_Generic[[#This Row],[Calculated VAV Max CFM]],Ahu_Ashrae_Generic[[#This Row],[Desired Room Balance]],Ahu_Ashrae_Generic[[#This Row],[Exhausted?]],Ahu_Ashrae_Generic[[#This Row],[Misc Exhaust From Room]])</f>
        <v>0</v>
      </c>
      <c r="AL13" s="98" cm="1">
        <f t="array" aca="1" ref="AL13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350</v>
      </c>
      <c r="AM13" s="101">
        <f ca="1">Ahu_Ashrae_Generic[[#This Row],[DESIGN VAV MAX SA(CFM)]]-Ahu_Ashrae_Generic[[#This Row],[DESIGN RA (CFM)]]-Ahu_Ashrae_Generic[[#This Row],[DESIGN EA(CFM)]]</f>
        <v>-50</v>
      </c>
      <c r="AN13" s="70">
        <f ca="1">Ahu_Ashrae_Generic[[#This Row],[OUTSIDE AIRFLOW (CFM) (Vot)]]/Ahu_Ashrae_Generic[[#This Row],[DESIGN VAV MAX SA(CFM)]]</f>
        <v>0</v>
      </c>
    </row>
    <row r="14" spans="1:40" ht="15.6">
      <c r="A14" s="98" t="s">
        <v>103</v>
      </c>
      <c r="B14" s="98">
        <v>102</v>
      </c>
      <c r="C14" s="98" t="s">
        <v>748</v>
      </c>
      <c r="D14" s="98">
        <v>550</v>
      </c>
      <c r="E14" s="98">
        <v>-50</v>
      </c>
      <c r="F14" s="98">
        <v>4</v>
      </c>
      <c r="G14" s="117">
        <f>IF((VLOOKUP(Ahu_Ashrae_Generic[[#This Row],[Occupancy Category]],Ashrae90.1Vent[#All],7,FALSE)) = "YES",MROUND(D14/2,5),MROUND(D14,5))</f>
        <v>275</v>
      </c>
      <c r="H14" s="98">
        <v>300</v>
      </c>
      <c r="I14" s="98" t="s">
        <v>72</v>
      </c>
      <c r="J14" s="98" t="s">
        <v>104</v>
      </c>
      <c r="K14" s="100">
        <f>VLOOKUP(Ahu_Ashrae_Generic[[#This Row],[Occupancy Category]],Ashrae90.1Vent[#All],2,FALSE)</f>
        <v>0</v>
      </c>
      <c r="L14" s="100">
        <f>VLOOKUP(Ahu_Ashrae_Generic[[#This Row],[Occupancy Category]],Ashrae90.1Vent[#All],3,FALSE)</f>
        <v>0</v>
      </c>
      <c r="M14" s="100">
        <f>VLOOKUP(Ahu_Ashrae_Generic[[#This Row],[Occupancy Category]],Ashrae90.1Vent[#All],4,FALSE)</f>
        <v>0</v>
      </c>
      <c r="N14" s="100">
        <f>Ahu_Ashrae_Generic[[#This Row],[OCCUPANT DENSITY
('#/1000 FT²)]]*Ahu_Ashrae_Generic[[#This Row],[RP
(CFM/PER PERSON)]]</f>
        <v>0</v>
      </c>
      <c r="O14" s="100">
        <f>Ahu_Ashrae_Generic[[#This Row],[RA
(CFM/FT²)]]*Ahu_Ashrae_Generic[[#This Row],[AREA (FT²)]]</f>
        <v>0</v>
      </c>
      <c r="P14" s="100">
        <f>VLOOKUP(Ahu_Ashrae_Generic[[#This Row],[Occupancy Category]],Ashrae90.1Vent[#All],5,FALSE)</f>
        <v>2</v>
      </c>
      <c r="Q14" s="100">
        <f t="shared" si="0"/>
        <v>0</v>
      </c>
      <c r="R14" s="102">
        <f>IF(($R$1/Ahu_Ashrae_Generic[[#Totals],[Occupants (Pz)]])&gt;1,1,$R$1/Ahu_Ashrae_Generic[[#Totals],[Occupants (Pz)]])</f>
        <v>1</v>
      </c>
      <c r="S14" s="101">
        <f>(Ahu_Ashrae_Generic[[#This Row],[DIVERSITY (D)]]*Ahu_Ashrae_Generic[[#This Row],[RP
(CFM/PER PERSON)]]*Ahu_Ashrae_Generic[[#This Row],[Occupants (Pz)]])+(Ahu_Ashrae_Generic[[#This Row],[RA
(CFM/FT²)]]*Ahu_Ashrae_Generic[[#This Row],[AREA (FT²)]])</f>
        <v>0</v>
      </c>
      <c r="T14" s="102">
        <v>0.65624675324675319</v>
      </c>
      <c r="U14" s="101">
        <f>Ahu_Ashrae_Generic[[#This Row],[Uncorrected OA (Vou)]]/Ahu_Ashrae_Generic[[#This Row],[System Efficiency (Ev)]]</f>
        <v>0</v>
      </c>
      <c r="V14" s="101">
        <f>(Ahu_Ashrae_Generic[[#This Row],[RP
(CFM/PER PERSON)]]*Ahu_Ashrae_Generic[[#This Row],[Occupants (Pz)]])+(Ahu_Ashrae_Generic[[#This Row],[RA
(CFM/FT²)]]*Ahu_Ashrae_Generic[[#This Row],[AREA (FT²)]])</f>
        <v>0</v>
      </c>
      <c r="W14" s="98">
        <v>0.8</v>
      </c>
      <c r="X14" s="101">
        <f>Ahu_Ashrae_Generic[[#This Row],[Breathing Zone OA (Vbz)]]/Ahu_Ashrae_Generic[[#This Row],[Zone Efficiency (Ez)]]</f>
        <v>0</v>
      </c>
      <c r="Y14" s="314" t="s">
        <v>49</v>
      </c>
      <c r="Z14" s="100" t="str" cm="1">
        <f t="array" aca="1" ref="Z14" ca="1">co2requirement(Ahu_Ashrae_Generic[[#This Row],[AREA (FT²)]],Ahu_Ashrae_Generic[[#This Row],[EXHAUST RECOVERY]],INPUT_OUTPUTS!$C$6,Ahu_Ashrae_Generic[[#This Row],[Occupant Component]])</f>
        <v>NO</v>
      </c>
      <c r="AA14" s="101" t="str">
        <f>VLOOKUP(Ahu_Ashrae_Generic[[#This Row],[Occupancy Category]],Ashrae90.1Vent[#All],6,FALSE)</f>
        <v>NO</v>
      </c>
      <c r="AB14" s="101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14" s="145">
        <v>0</v>
      </c>
      <c r="AD14" s="101" t="str">
        <f>IF(Ahu_Ashrae_Generic[[#This Row],[Exhaust Category]] = "NOT APPLICABLE","NR","YES")</f>
        <v>YES</v>
      </c>
      <c r="AE14" s="101">
        <f>IF(Ahu_Ashrae_Generic[[#This Row],[Exhaust Category]]="NOT APPLICABLE","NA",VLOOKUP(Ahu_Ashrae_Generic[[#This Row],[Exhaust Category]],ASHRAE_EA_Table[#All],2,FALSE))</f>
        <v>50</v>
      </c>
      <c r="AF14" s="101">
        <f>IF(Ahu_Ashrae_Generic[[#This Row],[Exhaust Category]]="NOT APPLICABLE","NA",VLOOKUP(Ahu_Ashrae_Generic[[#This Row],[Exhaust Category]],ASHRAE_EA_Table[#All],3,FALSE))</f>
        <v>0</v>
      </c>
      <c r="AG14" s="100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200</v>
      </c>
      <c r="AH14" s="101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300</v>
      </c>
      <c r="AI14" s="101" cm="1">
        <f t="array" aca="1" ref="AI14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Room]])</f>
        <v>300</v>
      </c>
      <c r="AJ14" s="145">
        <f ca="1">Ahu_Ashrae_Generic[[#This Row],[Calculated VAV Max CFM]]</f>
        <v>300</v>
      </c>
      <c r="AK14" s="98" cm="1">
        <f t="array" aca="1" ref="AK14" ca="1">Returnair(Ahu_Ashrae_Generic[[#This Row],[Calculated VAV Max CFM]],Ahu_Ashrae_Generic[[#This Row],[Desired Room Balance]],Ahu_Ashrae_Generic[[#This Row],[Exhausted?]],Ahu_Ashrae_Generic[[#This Row],[Misc Exhaust From Room]])</f>
        <v>0</v>
      </c>
      <c r="AL14" s="98" cm="1">
        <f t="array" aca="1" ref="AL14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350</v>
      </c>
      <c r="AM14" s="101">
        <f ca="1">Ahu_Ashrae_Generic[[#This Row],[DESIGN VAV MAX SA(CFM)]]-Ahu_Ashrae_Generic[[#This Row],[DESIGN RA (CFM)]]-Ahu_Ashrae_Generic[[#This Row],[DESIGN EA(CFM)]]</f>
        <v>-50</v>
      </c>
      <c r="AN14" s="70">
        <f ca="1">Ahu_Ashrae_Generic[[#This Row],[OUTSIDE AIRFLOW (CFM) (Vot)]]/Ahu_Ashrae_Generic[[#This Row],[DESIGN VAV MAX SA(CFM)]]</f>
        <v>0</v>
      </c>
    </row>
    <row r="15" spans="1:40" ht="15.6">
      <c r="A15" s="98" t="s">
        <v>103</v>
      </c>
      <c r="B15" s="98">
        <v>102</v>
      </c>
      <c r="C15" s="98" t="s">
        <v>748</v>
      </c>
      <c r="D15" s="98">
        <v>550</v>
      </c>
      <c r="E15" s="98">
        <v>-50</v>
      </c>
      <c r="F15" s="98">
        <v>4</v>
      </c>
      <c r="G15" s="117">
        <f>IF((VLOOKUP(Ahu_Ashrae_Generic[[#This Row],[Occupancy Category]],Ashrae90.1Vent[#All],7,FALSE)) = "YES",MROUND(D15/2,5),MROUND(D15,5))</f>
        <v>275</v>
      </c>
      <c r="H15" s="98">
        <v>300</v>
      </c>
      <c r="I15" s="98" t="s">
        <v>72</v>
      </c>
      <c r="J15" s="98" t="s">
        <v>104</v>
      </c>
      <c r="K15" s="100">
        <f>VLOOKUP(Ahu_Ashrae_Generic[[#This Row],[Occupancy Category]],Ashrae90.1Vent[#All],2,FALSE)</f>
        <v>0</v>
      </c>
      <c r="L15" s="100">
        <f>VLOOKUP(Ahu_Ashrae_Generic[[#This Row],[Occupancy Category]],Ashrae90.1Vent[#All],3,FALSE)</f>
        <v>0</v>
      </c>
      <c r="M15" s="100">
        <f>VLOOKUP(Ahu_Ashrae_Generic[[#This Row],[Occupancy Category]],Ashrae90.1Vent[#All],4,FALSE)</f>
        <v>0</v>
      </c>
      <c r="N15" s="100">
        <f>Ahu_Ashrae_Generic[[#This Row],[OCCUPANT DENSITY
('#/1000 FT²)]]*Ahu_Ashrae_Generic[[#This Row],[RP
(CFM/PER PERSON)]]</f>
        <v>0</v>
      </c>
      <c r="O15" s="100">
        <f>Ahu_Ashrae_Generic[[#This Row],[RA
(CFM/FT²)]]*Ahu_Ashrae_Generic[[#This Row],[AREA (FT²)]]</f>
        <v>0</v>
      </c>
      <c r="P15" s="100">
        <f>VLOOKUP(Ahu_Ashrae_Generic[[#This Row],[Occupancy Category]],Ashrae90.1Vent[#All],5,FALSE)</f>
        <v>2</v>
      </c>
      <c r="Q15" s="100">
        <f t="shared" si="0"/>
        <v>0</v>
      </c>
      <c r="R15" s="102">
        <f>IF(($R$1/Ahu_Ashrae_Generic[[#Totals],[Occupants (Pz)]])&gt;1,1,$R$1/Ahu_Ashrae_Generic[[#Totals],[Occupants (Pz)]])</f>
        <v>1</v>
      </c>
      <c r="S15" s="101">
        <f>(Ahu_Ashrae_Generic[[#This Row],[DIVERSITY (D)]]*Ahu_Ashrae_Generic[[#This Row],[RP
(CFM/PER PERSON)]]*Ahu_Ashrae_Generic[[#This Row],[Occupants (Pz)]])+(Ahu_Ashrae_Generic[[#This Row],[RA
(CFM/FT²)]]*Ahu_Ashrae_Generic[[#This Row],[AREA (FT²)]])</f>
        <v>0</v>
      </c>
      <c r="T15" s="102">
        <v>0.65624675324675319</v>
      </c>
      <c r="U15" s="101">
        <f>Ahu_Ashrae_Generic[[#This Row],[Uncorrected OA (Vou)]]/Ahu_Ashrae_Generic[[#This Row],[System Efficiency (Ev)]]</f>
        <v>0</v>
      </c>
      <c r="V15" s="101">
        <f>(Ahu_Ashrae_Generic[[#This Row],[RP
(CFM/PER PERSON)]]*Ahu_Ashrae_Generic[[#This Row],[Occupants (Pz)]])+(Ahu_Ashrae_Generic[[#This Row],[RA
(CFM/FT²)]]*Ahu_Ashrae_Generic[[#This Row],[AREA (FT²)]])</f>
        <v>0</v>
      </c>
      <c r="W15" s="98">
        <v>0.8</v>
      </c>
      <c r="X15" s="101">
        <f>Ahu_Ashrae_Generic[[#This Row],[Breathing Zone OA (Vbz)]]/Ahu_Ashrae_Generic[[#This Row],[Zone Efficiency (Ez)]]</f>
        <v>0</v>
      </c>
      <c r="Y15" s="314" t="s">
        <v>49</v>
      </c>
      <c r="Z15" s="100" t="str" cm="1">
        <f t="array" aca="1" ref="Z15" ca="1">co2requirement(Ahu_Ashrae_Generic[[#This Row],[AREA (FT²)]],Ahu_Ashrae_Generic[[#This Row],[EXHAUST RECOVERY]],INPUT_OUTPUTS!$C$6,Ahu_Ashrae_Generic[[#This Row],[Occupant Component]])</f>
        <v>NO</v>
      </c>
      <c r="AA15" s="101" t="str">
        <f>VLOOKUP(Ahu_Ashrae_Generic[[#This Row],[Occupancy Category]],Ashrae90.1Vent[#All],6,FALSE)</f>
        <v>NO</v>
      </c>
      <c r="AB15" s="101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15" s="145">
        <v>0</v>
      </c>
      <c r="AD15" s="101" t="str">
        <f>IF(Ahu_Ashrae_Generic[[#This Row],[Exhaust Category]] = "NOT APPLICABLE","NR","YES")</f>
        <v>YES</v>
      </c>
      <c r="AE15" s="101">
        <f>IF(Ahu_Ashrae_Generic[[#This Row],[Exhaust Category]]="NOT APPLICABLE","NA",VLOOKUP(Ahu_Ashrae_Generic[[#This Row],[Exhaust Category]],ASHRAE_EA_Table[#All],2,FALSE))</f>
        <v>50</v>
      </c>
      <c r="AF15" s="101">
        <f>IF(Ahu_Ashrae_Generic[[#This Row],[Exhaust Category]]="NOT APPLICABLE","NA",VLOOKUP(Ahu_Ashrae_Generic[[#This Row],[Exhaust Category]],ASHRAE_EA_Table[#All],3,FALSE))</f>
        <v>0</v>
      </c>
      <c r="AG15" s="100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200</v>
      </c>
      <c r="AH15" s="101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300</v>
      </c>
      <c r="AI15" s="101" cm="1">
        <f t="array" aca="1" ref="AI15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Room]])</f>
        <v>300</v>
      </c>
      <c r="AJ15" s="145">
        <f ca="1">Ahu_Ashrae_Generic[[#This Row],[Calculated VAV Max CFM]]</f>
        <v>300</v>
      </c>
      <c r="AK15" s="98" cm="1">
        <f t="array" aca="1" ref="AK15" ca="1">Returnair(Ahu_Ashrae_Generic[[#This Row],[Calculated VAV Max CFM]],Ahu_Ashrae_Generic[[#This Row],[Desired Room Balance]],Ahu_Ashrae_Generic[[#This Row],[Exhausted?]],Ahu_Ashrae_Generic[[#This Row],[Misc Exhaust From Room]])</f>
        <v>0</v>
      </c>
      <c r="AL15" s="98" cm="1">
        <f t="array" aca="1" ref="AL15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350</v>
      </c>
      <c r="AM15" s="101">
        <f ca="1">Ahu_Ashrae_Generic[[#This Row],[DESIGN VAV MAX SA(CFM)]]-Ahu_Ashrae_Generic[[#This Row],[DESIGN RA (CFM)]]-Ahu_Ashrae_Generic[[#This Row],[DESIGN EA(CFM)]]</f>
        <v>-50</v>
      </c>
      <c r="AN15" s="70">
        <f ca="1">Ahu_Ashrae_Generic[[#This Row],[OUTSIDE AIRFLOW (CFM) (Vot)]]/Ahu_Ashrae_Generic[[#This Row],[DESIGN VAV MAX SA(CFM)]]</f>
        <v>0</v>
      </c>
    </row>
    <row r="16" spans="1:40" ht="15.6">
      <c r="A16" s="98" t="s">
        <v>103</v>
      </c>
      <c r="B16" s="98">
        <v>102</v>
      </c>
      <c r="C16" s="98" t="s">
        <v>748</v>
      </c>
      <c r="D16" s="98">
        <v>550</v>
      </c>
      <c r="E16" s="98">
        <v>-50</v>
      </c>
      <c r="F16" s="98">
        <v>4</v>
      </c>
      <c r="G16" s="117">
        <f>IF((VLOOKUP(Ahu_Ashrae_Generic[[#This Row],[Occupancy Category]],Ashrae90.1Vent[#All],7,FALSE)) = "YES",MROUND(D16/2,5),MROUND(D16,5))</f>
        <v>275</v>
      </c>
      <c r="H16" s="98">
        <v>300</v>
      </c>
      <c r="I16" s="98" t="s">
        <v>72</v>
      </c>
      <c r="J16" s="98" t="s">
        <v>104</v>
      </c>
      <c r="K16" s="100">
        <f>VLOOKUP(Ahu_Ashrae_Generic[[#This Row],[Occupancy Category]],Ashrae90.1Vent[#All],2,FALSE)</f>
        <v>0</v>
      </c>
      <c r="L16" s="100">
        <f>VLOOKUP(Ahu_Ashrae_Generic[[#This Row],[Occupancy Category]],Ashrae90.1Vent[#All],3,FALSE)</f>
        <v>0</v>
      </c>
      <c r="M16" s="100">
        <f>VLOOKUP(Ahu_Ashrae_Generic[[#This Row],[Occupancy Category]],Ashrae90.1Vent[#All],4,FALSE)</f>
        <v>0</v>
      </c>
      <c r="N16" s="100">
        <f>Ahu_Ashrae_Generic[[#This Row],[OCCUPANT DENSITY
('#/1000 FT²)]]*Ahu_Ashrae_Generic[[#This Row],[RP
(CFM/PER PERSON)]]</f>
        <v>0</v>
      </c>
      <c r="O16" s="100">
        <f>Ahu_Ashrae_Generic[[#This Row],[RA
(CFM/FT²)]]*Ahu_Ashrae_Generic[[#This Row],[AREA (FT²)]]</f>
        <v>0</v>
      </c>
      <c r="P16" s="100">
        <f>VLOOKUP(Ahu_Ashrae_Generic[[#This Row],[Occupancy Category]],Ashrae90.1Vent[#All],5,FALSE)</f>
        <v>2</v>
      </c>
      <c r="Q16" s="100">
        <f t="shared" si="0"/>
        <v>0</v>
      </c>
      <c r="R16" s="102">
        <f>IF(($R$1/Ahu_Ashrae_Generic[[#Totals],[Occupants (Pz)]])&gt;1,1,$R$1/Ahu_Ashrae_Generic[[#Totals],[Occupants (Pz)]])</f>
        <v>1</v>
      </c>
      <c r="S16" s="101">
        <f>(Ahu_Ashrae_Generic[[#This Row],[DIVERSITY (D)]]*Ahu_Ashrae_Generic[[#This Row],[RP
(CFM/PER PERSON)]]*Ahu_Ashrae_Generic[[#This Row],[Occupants (Pz)]])+(Ahu_Ashrae_Generic[[#This Row],[RA
(CFM/FT²)]]*Ahu_Ashrae_Generic[[#This Row],[AREA (FT²)]])</f>
        <v>0</v>
      </c>
      <c r="T16" s="102">
        <v>0.65624675324675319</v>
      </c>
      <c r="U16" s="101">
        <f>Ahu_Ashrae_Generic[[#This Row],[Uncorrected OA (Vou)]]/Ahu_Ashrae_Generic[[#This Row],[System Efficiency (Ev)]]</f>
        <v>0</v>
      </c>
      <c r="V16" s="101">
        <f>(Ahu_Ashrae_Generic[[#This Row],[RP
(CFM/PER PERSON)]]*Ahu_Ashrae_Generic[[#This Row],[Occupants (Pz)]])+(Ahu_Ashrae_Generic[[#This Row],[RA
(CFM/FT²)]]*Ahu_Ashrae_Generic[[#This Row],[AREA (FT²)]])</f>
        <v>0</v>
      </c>
      <c r="W16" s="98">
        <v>0.8</v>
      </c>
      <c r="X16" s="101">
        <f>Ahu_Ashrae_Generic[[#This Row],[Breathing Zone OA (Vbz)]]/Ahu_Ashrae_Generic[[#This Row],[Zone Efficiency (Ez)]]</f>
        <v>0</v>
      </c>
      <c r="Y16" s="314" t="s">
        <v>49</v>
      </c>
      <c r="Z16" s="100" t="str" cm="1">
        <f t="array" aca="1" ref="Z16" ca="1">co2requirement(Ahu_Ashrae_Generic[[#This Row],[AREA (FT²)]],Ahu_Ashrae_Generic[[#This Row],[EXHAUST RECOVERY]],INPUT_OUTPUTS!$C$6,Ahu_Ashrae_Generic[[#This Row],[Occupant Component]])</f>
        <v>NO</v>
      </c>
      <c r="AA16" s="101" t="str">
        <f>VLOOKUP(Ahu_Ashrae_Generic[[#This Row],[Occupancy Category]],Ashrae90.1Vent[#All],6,FALSE)</f>
        <v>NO</v>
      </c>
      <c r="AB16" s="101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16" s="145">
        <v>0</v>
      </c>
      <c r="AD16" s="101" t="str">
        <f>IF(Ahu_Ashrae_Generic[[#This Row],[Exhaust Category]] = "NOT APPLICABLE","NR","YES")</f>
        <v>YES</v>
      </c>
      <c r="AE16" s="101">
        <f>IF(Ahu_Ashrae_Generic[[#This Row],[Exhaust Category]]="NOT APPLICABLE","NA",VLOOKUP(Ahu_Ashrae_Generic[[#This Row],[Exhaust Category]],ASHRAE_EA_Table[#All],2,FALSE))</f>
        <v>50</v>
      </c>
      <c r="AF16" s="101">
        <f>IF(Ahu_Ashrae_Generic[[#This Row],[Exhaust Category]]="NOT APPLICABLE","NA",VLOOKUP(Ahu_Ashrae_Generic[[#This Row],[Exhaust Category]],ASHRAE_EA_Table[#All],3,FALSE))</f>
        <v>0</v>
      </c>
      <c r="AG16" s="100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200</v>
      </c>
      <c r="AH16" s="101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300</v>
      </c>
      <c r="AI16" s="101" cm="1">
        <f t="array" aca="1" ref="AI16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Room]])</f>
        <v>300</v>
      </c>
      <c r="AJ16" s="145">
        <f ca="1">Ahu_Ashrae_Generic[[#This Row],[Calculated VAV Max CFM]]</f>
        <v>300</v>
      </c>
      <c r="AK16" s="98" cm="1">
        <f t="array" aca="1" ref="AK16" ca="1">Returnair(Ahu_Ashrae_Generic[[#This Row],[Calculated VAV Max CFM]],Ahu_Ashrae_Generic[[#This Row],[Desired Room Balance]],Ahu_Ashrae_Generic[[#This Row],[Exhausted?]],Ahu_Ashrae_Generic[[#This Row],[Misc Exhaust From Room]])</f>
        <v>0</v>
      </c>
      <c r="AL16" s="98" cm="1">
        <f t="array" aca="1" ref="AL16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350</v>
      </c>
      <c r="AM16" s="101">
        <f ca="1">Ahu_Ashrae_Generic[[#This Row],[DESIGN VAV MAX SA(CFM)]]-Ahu_Ashrae_Generic[[#This Row],[DESIGN RA (CFM)]]-Ahu_Ashrae_Generic[[#This Row],[DESIGN EA(CFM)]]</f>
        <v>-50</v>
      </c>
      <c r="AN16" s="70">
        <f ca="1">Ahu_Ashrae_Generic[[#This Row],[OUTSIDE AIRFLOW (CFM) (Vot)]]/Ahu_Ashrae_Generic[[#This Row],[DESIGN VAV MAX SA(CFM)]]</f>
        <v>0</v>
      </c>
    </row>
    <row r="17" spans="1:40" ht="15.6">
      <c r="A17" s="98" t="s">
        <v>103</v>
      </c>
      <c r="B17" s="98">
        <v>102</v>
      </c>
      <c r="C17" s="98" t="s">
        <v>748</v>
      </c>
      <c r="D17" s="98">
        <v>550</v>
      </c>
      <c r="E17" s="98">
        <v>-50</v>
      </c>
      <c r="F17" s="98">
        <v>4</v>
      </c>
      <c r="G17" s="117">
        <f>IF((VLOOKUP(Ahu_Ashrae_Generic[[#This Row],[Occupancy Category]],Ashrae90.1Vent[#All],7,FALSE)) = "YES",MROUND(D17/2,5),MROUND(D17,5))</f>
        <v>275</v>
      </c>
      <c r="H17" s="98">
        <v>300</v>
      </c>
      <c r="I17" s="98" t="s">
        <v>72</v>
      </c>
      <c r="J17" s="98" t="s">
        <v>104</v>
      </c>
      <c r="K17" s="100">
        <f>VLOOKUP(Ahu_Ashrae_Generic[[#This Row],[Occupancy Category]],Ashrae90.1Vent[#All],2,FALSE)</f>
        <v>0</v>
      </c>
      <c r="L17" s="100">
        <f>VLOOKUP(Ahu_Ashrae_Generic[[#This Row],[Occupancy Category]],Ashrae90.1Vent[#All],3,FALSE)</f>
        <v>0</v>
      </c>
      <c r="M17" s="100">
        <f>VLOOKUP(Ahu_Ashrae_Generic[[#This Row],[Occupancy Category]],Ashrae90.1Vent[#All],4,FALSE)</f>
        <v>0</v>
      </c>
      <c r="N17" s="100">
        <f>Ahu_Ashrae_Generic[[#This Row],[OCCUPANT DENSITY
('#/1000 FT²)]]*Ahu_Ashrae_Generic[[#This Row],[RP
(CFM/PER PERSON)]]</f>
        <v>0</v>
      </c>
      <c r="O17" s="100">
        <f>Ahu_Ashrae_Generic[[#This Row],[RA
(CFM/FT²)]]*Ahu_Ashrae_Generic[[#This Row],[AREA (FT²)]]</f>
        <v>0</v>
      </c>
      <c r="P17" s="100">
        <f>VLOOKUP(Ahu_Ashrae_Generic[[#This Row],[Occupancy Category]],Ashrae90.1Vent[#All],5,FALSE)</f>
        <v>2</v>
      </c>
      <c r="Q17" s="100">
        <f t="shared" si="0"/>
        <v>0</v>
      </c>
      <c r="R17" s="102">
        <f>IF(($R$1/Ahu_Ashrae_Generic[[#Totals],[Occupants (Pz)]])&gt;1,1,$R$1/Ahu_Ashrae_Generic[[#Totals],[Occupants (Pz)]])</f>
        <v>1</v>
      </c>
      <c r="S17" s="101">
        <f>(Ahu_Ashrae_Generic[[#This Row],[DIVERSITY (D)]]*Ahu_Ashrae_Generic[[#This Row],[RP
(CFM/PER PERSON)]]*Ahu_Ashrae_Generic[[#This Row],[Occupants (Pz)]])+(Ahu_Ashrae_Generic[[#This Row],[RA
(CFM/FT²)]]*Ahu_Ashrae_Generic[[#This Row],[AREA (FT²)]])</f>
        <v>0</v>
      </c>
      <c r="T17" s="102">
        <v>0.65624675324675319</v>
      </c>
      <c r="U17" s="101">
        <f>Ahu_Ashrae_Generic[[#This Row],[Uncorrected OA (Vou)]]/Ahu_Ashrae_Generic[[#This Row],[System Efficiency (Ev)]]</f>
        <v>0</v>
      </c>
      <c r="V17" s="101">
        <f>(Ahu_Ashrae_Generic[[#This Row],[RP
(CFM/PER PERSON)]]*Ahu_Ashrae_Generic[[#This Row],[Occupants (Pz)]])+(Ahu_Ashrae_Generic[[#This Row],[RA
(CFM/FT²)]]*Ahu_Ashrae_Generic[[#This Row],[AREA (FT²)]])</f>
        <v>0</v>
      </c>
      <c r="W17" s="98">
        <v>0.8</v>
      </c>
      <c r="X17" s="101">
        <f>Ahu_Ashrae_Generic[[#This Row],[Breathing Zone OA (Vbz)]]/Ahu_Ashrae_Generic[[#This Row],[Zone Efficiency (Ez)]]</f>
        <v>0</v>
      </c>
      <c r="Y17" s="314" t="s">
        <v>49</v>
      </c>
      <c r="Z17" s="100" t="str" cm="1">
        <f t="array" aca="1" ref="Z17" ca="1">co2requirement(Ahu_Ashrae_Generic[[#This Row],[AREA (FT²)]],Ahu_Ashrae_Generic[[#This Row],[EXHAUST RECOVERY]],INPUT_OUTPUTS!$C$6,Ahu_Ashrae_Generic[[#This Row],[Occupant Component]])</f>
        <v>NO</v>
      </c>
      <c r="AA17" s="101" t="str">
        <f>VLOOKUP(Ahu_Ashrae_Generic[[#This Row],[Occupancy Category]],Ashrae90.1Vent[#All],6,FALSE)</f>
        <v>NO</v>
      </c>
      <c r="AB17" s="101">
        <f ca="1">IF(Ahu_Ashrae_Generic[[#This Row],[CO2 SENSOR]]="YES",IF(Ahu_Ashrae_Generic[[#This Row],[OS]]="NO",Ahu_Ashrae_Generic[[#This Row],[Area Component]],0),IF(Ahu_Ashrae_Generic[[#This Row],[OS]]="YES",Ahu_Ashrae_Generic[[#This Row],[Occupant Component]],Ahu_Ashrae_Generic[[#This Row],[OUTSIDE AIRFLOW (CFM) (Vot)]]))</f>
        <v>0</v>
      </c>
      <c r="AC17" s="145">
        <v>0</v>
      </c>
      <c r="AD17" s="101" t="str">
        <f>IF(Ahu_Ashrae_Generic[[#This Row],[Exhaust Category]] = "NOT APPLICABLE","NR","YES")</f>
        <v>YES</v>
      </c>
      <c r="AE17" s="101">
        <f>IF(Ahu_Ashrae_Generic[[#This Row],[Exhaust Category]]="NOT APPLICABLE","NA",VLOOKUP(Ahu_Ashrae_Generic[[#This Row],[Exhaust Category]],ASHRAE_EA_Table[#All],2,FALSE))</f>
        <v>50</v>
      </c>
      <c r="AF17" s="101">
        <f>IF(Ahu_Ashrae_Generic[[#This Row],[Exhaust Category]]="NOT APPLICABLE","NA",VLOOKUP(Ahu_Ashrae_Generic[[#This Row],[Exhaust Category]],ASHRAE_EA_Table[#All],3,FALSE))</f>
        <v>0</v>
      </c>
      <c r="AG17" s="100">
        <f>Ahu_Ashrae_Generic[[#This Row],[Misc Exhaust From Room]]+(IFERROR(IF(Ahu_Ashrae_Generic[[#This Row],[EA RATE
(CFM/UNIT)]] = "NA",Ahu_Ashrae_Generic[[#This Row],[EA RATE
(CFM/FT²)]]*Ahu_Ashrae_Generic[[#This Row],[AREA (FT²)]],Ahu_Ashrae_Generic[[#This Row],[EA RATE
(CFM/UNIT)]]*Ahu_Ashrae_Generic[[#This Row],[Exhaust Units]]),0))</f>
        <v>200</v>
      </c>
      <c r="AH17" s="101">
        <f ca="1">IF(Ahu_Ashrae_Generic[[#This Row],[Exhausted?]]="YES",Ahu_Ashrae_Generic[[#This Row],[Calculated VAV Max CFM]],(MROUND(IF((Ahu_Ashrae_Generic[[#This Row],[DESIGN VAV MAX SA(CFM)]]*0.3)&lt;(Ahu_Ashrae_Generic[[#This Row],[Zone OA (Voz)]]*1.5),(Ahu_Ashrae_Generic[[#This Row],[Zone OA (Voz)]]*1.5),(Ahu_Ashrae_Generic[[#This Row],[DESIGN VAV MAX SA(CFM)]]*0.3)),5)))</f>
        <v>300</v>
      </c>
      <c r="AI17" s="101" cm="1">
        <f t="array" aca="1" ref="AI17" ca="1">supplyair(Ahu_Ashrae_Generic[[#This Row],[LOAD (CFM)]],Ahu_Ashrae_Generic[[#This Row],[OFFICE STANDARD 
(CFM)]],Ahu_Ashrae_Generic[[#This Row],[OFFICE STANDARD 
(CFM)]],Ahu_Ashrae_Generic[[#This Row],[Desired Room Balance]],Ahu_Ashrae_Generic[[#This Row],[Exhausted?]],Ahu_Ashrae_Generic[[#This Row],[MIN ASHRAE EA
(CFM)]],Ahu_Ashrae_Generic[[#This Row],[Misc Exhaust From Room]])</f>
        <v>300</v>
      </c>
      <c r="AJ17" s="145">
        <f ca="1">Ahu_Ashrae_Generic[[#This Row],[Calculated VAV Max CFM]]</f>
        <v>300</v>
      </c>
      <c r="AK17" s="98" cm="1">
        <f t="array" aca="1" ref="AK17" ca="1">Returnair(Ahu_Ashrae_Generic[[#This Row],[Calculated VAV Max CFM]],Ahu_Ashrae_Generic[[#This Row],[Desired Room Balance]],Ahu_Ashrae_Generic[[#This Row],[Exhausted?]],Ahu_Ashrae_Generic[[#This Row],[Misc Exhaust From Room]])</f>
        <v>0</v>
      </c>
      <c r="AL17" s="98" cm="1">
        <f t="array" aca="1" ref="AL17" ca="1">Exhaustair(Ahu_Ashrae_Generic[[#This Row],[DESIGN VAV MAX SA(CFM)]],Ahu_Ashrae_Generic[[#This Row],[Exhausted?]],Ahu_Ashrae_Generic[[#This Row],[MIN ASHRAE EA
(CFM)]],Ahu_Ashrae_Generic[[#This Row],[Desired Room Balance]],Ahu_Ashrae_Generic[[#This Row],[Misc Exhaust From Room]])</f>
        <v>350</v>
      </c>
      <c r="AM17" s="101">
        <f ca="1">Ahu_Ashrae_Generic[[#This Row],[DESIGN VAV MAX SA(CFM)]]-Ahu_Ashrae_Generic[[#This Row],[DESIGN RA (CFM)]]-Ahu_Ashrae_Generic[[#This Row],[DESIGN EA(CFM)]]</f>
        <v>-50</v>
      </c>
      <c r="AN17" s="70">
        <f ca="1">Ahu_Ashrae_Generic[[#This Row],[OUTSIDE AIRFLOW (CFM) (Vot)]]/Ahu_Ashrae_Generic[[#This Row],[DESIGN VAV MAX SA(CFM)]]</f>
        <v>0</v>
      </c>
    </row>
    <row r="18" spans="1:40" ht="15.6">
      <c r="A18" s="293" t="s">
        <v>108</v>
      </c>
      <c r="B18" s="293"/>
      <c r="C18" s="294">
        <f>SUBTOTAL(103,Ahu_Ashrae_Generic[Room])</f>
        <v>13</v>
      </c>
      <c r="D18" s="295">
        <f>SUBTOTAL(109,Ahu_Ashrae_Generic[AREA (FT²)])</f>
        <v>7150</v>
      </c>
      <c r="E18" s="295"/>
      <c r="F18" s="296"/>
      <c r="G18" s="297"/>
      <c r="H18" s="298">
        <f>SUBTOTAL(109,Ahu_Ashrae_Generic[LOAD (CFM)])</f>
        <v>4100</v>
      </c>
      <c r="I18" s="293"/>
      <c r="J18" s="293"/>
      <c r="K18" s="299"/>
      <c r="L18" s="299"/>
      <c r="M18" s="299"/>
      <c r="N18" s="299"/>
      <c r="O18" s="299"/>
      <c r="P18" s="299"/>
      <c r="Q18" s="300">
        <f>SUBTOTAL(109,Ahu_Ashrae_Generic[Occupants (Pz)])</f>
        <v>28</v>
      </c>
      <c r="R18" s="300"/>
      <c r="S18" s="301">
        <f>SUBTOTAL(109,Ahu_Ashrae_Generic[Uncorrected OA (Vou)])</f>
        <v>173</v>
      </c>
      <c r="T18" s="299"/>
      <c r="U18" s="301">
        <f>SUBTOTAL(109,Ahu_Ashrae_Generic[OUTSIDE AIRFLOW (CFM) (Vot)])</f>
        <v>263.6203518632127</v>
      </c>
      <c r="V18" s="301"/>
      <c r="W18" s="301"/>
      <c r="X18" s="301"/>
      <c r="Y18" s="301"/>
      <c r="Z18" s="301"/>
      <c r="AA18" s="301"/>
      <c r="AB18" s="301">
        <f ca="1">SUBTOTAL(109,Ahu_Ashrae_Generic[MIN OA ALLOWABLE (WITH DCV)])</f>
        <v>0</v>
      </c>
      <c r="AC18" s="301"/>
      <c r="AD18" s="301"/>
      <c r="AE18" s="299"/>
      <c r="AF18" s="299"/>
      <c r="AG18" s="299"/>
      <c r="AH18" s="299"/>
      <c r="AI18" s="299"/>
      <c r="AJ18" s="301">
        <f ca="1">SUBTOTAL(109,Ahu_Ashrae_Generic[DESIGN VAV MAX SA(CFM)])</f>
        <v>4150</v>
      </c>
      <c r="AK18" s="301">
        <f ca="1">SUBTOTAL(109,Ahu_Ashrae_Generic[DESIGN RA (CFM)])</f>
        <v>550</v>
      </c>
      <c r="AL18" s="301">
        <f ca="1">SUBTOTAL(109,Ahu_Ashrae_Generic[DESIGN EA(CFM)])</f>
        <v>4200</v>
      </c>
      <c r="AM18" s="299"/>
      <c r="AN18" s="76"/>
    </row>
  </sheetData>
  <mergeCells count="4">
    <mergeCell ref="A3:H3"/>
    <mergeCell ref="I3:AH3"/>
    <mergeCell ref="P1:Q1"/>
    <mergeCell ref="S1:T1"/>
  </mergeCells>
  <phoneticPr fontId="9" type="noConversion"/>
  <dataValidations disablePrompts="1" count="1">
    <dataValidation type="whole" allowBlank="1" showInputMessage="1" showErrorMessage="1" sqref="R1" xr:uid="{BE18D0D8-1B9C-4621-ABBD-BF3D27C9EA7A}">
      <formula1>-1</formula1>
      <formula2>99999</formula2>
    </dataValidation>
  </dataValidations>
  <pageMargins left="0.7" right="0.7" top="0.75" bottom="0.75" header="0.3" footer="0.3"/>
  <pageSetup scale="13" fitToHeight="0" orientation="landscape" r:id="rId1"/>
  <ignoredErrors>
    <ignoredError sqref="AG5 R5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719" r:id="rId4" name="Button 87">
              <controlPr defaultSize="0" print="0" autoFill="0" autoPict="0" macro="[0]!AddRowsToTableWithUserInput" altText="HUMIDIFICATION">
                <anchor moveWithCells="1" sizeWithCells="1">
                  <from>
                    <xdr:col>0</xdr:col>
                    <xdr:colOff>982980</xdr:colOff>
                    <xdr:row>0</xdr:row>
                    <xdr:rowOff>15240</xdr:rowOff>
                  </from>
                  <to>
                    <xdr:col>1</xdr:col>
                    <xdr:colOff>868680</xdr:colOff>
                    <xdr:row>1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 xr:uid="{F975D134-1567-4279-88F2-D2C74BC575D9}">
          <x14:formula1>
            <xm:f>'DO NOT TOUCH'!$B$23:$B$24</xm:f>
          </x14:formula1>
          <xm:sqref>U1</xm:sqref>
        </x14:dataValidation>
        <x14:dataValidation type="list" allowBlank="1" showInputMessage="1" showErrorMessage="1" xr:uid="{54707373-1E21-4FCF-8022-EF21D75C8B93}">
          <x14:formula1>
            <xm:f>'ASHRAE Table'!$Q$3:$Q$13</xm:f>
          </x14:formula1>
          <xm:sqref>W5:W17</xm:sqref>
        </x14:dataValidation>
        <x14:dataValidation type="list" allowBlank="1" showInputMessage="1" showErrorMessage="1" xr:uid="{ACABCE57-1E6D-455F-A0AA-BFF37E488AD5}">
          <x14:formula1>
            <xm:f>'ASHRAE Table'!$J$2:$J$37</xm:f>
          </x14:formula1>
          <xm:sqref>I5:I17</xm:sqref>
        </x14:dataValidation>
        <x14:dataValidation type="list" allowBlank="1" showInputMessage="1" showErrorMessage="1" xr:uid="{D97746D2-C89F-44DA-82C1-46DD8DEBA094}">
          <x14:formula1>
            <xm:f>'ASHRAE Table'!$A$2:$A$93</xm:f>
          </x14:formula1>
          <xm:sqref>J5:J17</xm:sqref>
        </x14:dataValidation>
        <x14:dataValidation type="list" allowBlank="1" showInputMessage="1" showErrorMessage="1" xr:uid="{D828EF70-F693-48D0-8216-B83D698C41BA}">
          <x14:formula1>
            <xm:f>'ASHRAE Table'!$Q$19:$Q$20</xm:f>
          </x14:formula1>
          <xm:sqref>Y5:Y17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3ACB5-BAFE-45FA-8E7C-6479585E67B0}">
  <sheetPr codeName="Sheet14"/>
  <dimension ref="A1:S4"/>
  <sheetViews>
    <sheetView showGridLines="0" topLeftCell="B1" zoomScale="85" zoomScaleNormal="85" workbookViewId="0">
      <selection activeCell="E34" sqref="E34"/>
    </sheetView>
  </sheetViews>
  <sheetFormatPr defaultRowHeight="13.2"/>
  <cols>
    <col min="1" max="1" width="12.109375" bestFit="1" customWidth="1"/>
    <col min="2" max="2" width="26.5546875" bestFit="1" customWidth="1"/>
    <col min="3" max="3" width="33.44140625" bestFit="1" customWidth="1"/>
    <col min="4" max="4" width="15.33203125" bestFit="1" customWidth="1"/>
    <col min="5" max="5" width="16.109375" bestFit="1" customWidth="1"/>
    <col min="6" max="6" width="12.5546875" bestFit="1" customWidth="1"/>
    <col min="7" max="7" width="15.109375" bestFit="1" customWidth="1"/>
    <col min="8" max="8" width="16.44140625" bestFit="1" customWidth="1"/>
    <col min="9" max="9" width="11" bestFit="1" customWidth="1"/>
    <col min="10" max="10" width="13" bestFit="1" customWidth="1"/>
    <col min="11" max="11" width="10.44140625" bestFit="1" customWidth="1"/>
    <col min="12" max="12" width="13" bestFit="1" customWidth="1"/>
    <col min="13" max="13" width="11.109375" bestFit="1" customWidth="1"/>
    <col min="14" max="14" width="12.5546875" bestFit="1" customWidth="1"/>
    <col min="15" max="15" width="11" bestFit="1" customWidth="1"/>
    <col min="16" max="16" width="12.5546875" bestFit="1" customWidth="1"/>
    <col min="17" max="17" width="13.5546875" bestFit="1" customWidth="1"/>
    <col min="18" max="18" width="12.6640625" bestFit="1" customWidth="1"/>
    <col min="19" max="19" width="12.5546875" bestFit="1" customWidth="1"/>
  </cols>
  <sheetData>
    <row r="1" spans="1:19" ht="45">
      <c r="A1" s="105" t="s">
        <v>5</v>
      </c>
      <c r="B1" s="105" t="s">
        <v>50</v>
      </c>
      <c r="C1" s="105" t="s">
        <v>51</v>
      </c>
      <c r="D1" s="105" t="s">
        <v>98</v>
      </c>
      <c r="E1" s="105" t="s">
        <v>99</v>
      </c>
      <c r="F1" s="105" t="s">
        <v>100</v>
      </c>
      <c r="G1" s="105" t="s">
        <v>101</v>
      </c>
      <c r="H1" s="105" t="s">
        <v>102</v>
      </c>
      <c r="I1" s="105" t="s">
        <v>55</v>
      </c>
      <c r="J1" s="105" t="s">
        <v>56</v>
      </c>
      <c r="K1" s="105" t="s">
        <v>57</v>
      </c>
      <c r="L1" s="105" t="s">
        <v>58</v>
      </c>
      <c r="M1" s="105" t="s">
        <v>59</v>
      </c>
      <c r="N1" s="105" t="s">
        <v>60</v>
      </c>
      <c r="O1" s="105" t="s">
        <v>1</v>
      </c>
      <c r="P1" s="105" t="s">
        <v>61</v>
      </c>
      <c r="Q1" s="105" t="s">
        <v>62</v>
      </c>
      <c r="R1" s="105" t="s">
        <v>63</v>
      </c>
      <c r="S1" s="105" t="s">
        <v>64</v>
      </c>
    </row>
    <row r="2" spans="1:19" ht="15">
      <c r="A2" s="118" t="s">
        <v>103</v>
      </c>
      <c r="B2" s="118" t="s">
        <v>66</v>
      </c>
      <c r="C2" s="118" t="s">
        <v>67</v>
      </c>
      <c r="D2" s="119">
        <f ca="1">SUMIF(Ahu_Ashrae_Generic[Zone],AHU_VAV_SCHEDULE[[#This Row],[ZONE]],Ahu_Ashrae_Generic[DESIGN VAV MIN SA(CFM)])</f>
        <v>3925</v>
      </c>
      <c r="E2" s="118">
        <f ca="1">SUMIF(Ahu_Ashrae_Generic[Zone],AHU_VAV_SCHEDULE[[#This Row],[ZONE]],Ahu_Ashrae_Generic[DESIGN VAV MAX SA(CFM)])</f>
        <v>4150</v>
      </c>
      <c r="F2" s="120">
        <f ca="1">IFERROR((VLOOKUP(AHU_VAV_SCHEDULE[[#This Row],[MAX VAV
(CFM)]],'DO NOT TOUCH'!$C$9:$D$14,2,TRUE)),"TBD")</f>
        <v>16</v>
      </c>
      <c r="G2" s="120">
        <v>0.5</v>
      </c>
      <c r="H2" s="120">
        <f ca="1">AHU_VAV_SCHEDULE[[#This Row],[MIN VAV
(CFM)]]</f>
        <v>3925</v>
      </c>
      <c r="I2" s="120">
        <f>INPUT_OUTPUTS!$C$16</f>
        <v>140</v>
      </c>
      <c r="J2" s="120">
        <f>INPUT_OUTPUTS!$C$17</f>
        <v>110</v>
      </c>
      <c r="K2" s="120">
        <v>55</v>
      </c>
      <c r="L2" s="120">
        <v>80</v>
      </c>
      <c r="M2" s="120">
        <f ca="1">MROUND((1.08*(L2-K2)*AHU_VAV_SCHEDULE[[#This Row],[HEATING AIRFLOW 
(CFM)]])/1000,0.1)</f>
        <v>106</v>
      </c>
      <c r="N2" s="121">
        <f ca="1">(M2*1000)/(500*(I2-J2))</f>
        <v>7.0666666666666664</v>
      </c>
      <c r="O2" s="121">
        <f ca="1">IF(N2&lt;0.5,0.5,N2)</f>
        <v>7.0666666666666664</v>
      </c>
      <c r="P2" s="121">
        <v>5</v>
      </c>
      <c r="Q2" s="121">
        <f ca="1">IFERROR((_xlfn.XLOOKUP(F2,'DO NOT TOUCH'!$D$9:$D$14,'DO NOT TOUCH'!$E$9:$E$14,)),"TBD")</f>
        <v>60</v>
      </c>
      <c r="R2" s="121">
        <f>INPUT_OUTPUTS!$C$19</f>
        <v>0</v>
      </c>
      <c r="S2" s="120" t="s">
        <v>68</v>
      </c>
    </row>
    <row r="3" spans="1:19" ht="15">
      <c r="A3" s="118" t="s">
        <v>106</v>
      </c>
      <c r="B3" s="118" t="s">
        <v>66</v>
      </c>
      <c r="C3" s="118" t="s">
        <v>67</v>
      </c>
      <c r="D3" s="119">
        <f>SUMIF(Ahu_Ashrae_Generic[Zone],AHU_VAV_SCHEDULE[[#This Row],[ZONE]],Ahu_Ashrae_Generic[DESIGN VAV MIN SA(CFM)])</f>
        <v>0</v>
      </c>
      <c r="E3" s="118">
        <f>SUMIF(Ahu_Ashrae_Generic[Zone],AHU_VAV_SCHEDULE[[#This Row],[ZONE]],Ahu_Ashrae_Generic[DESIGN VAV MAX SA(CFM)])</f>
        <v>0</v>
      </c>
      <c r="F3" s="120" t="str">
        <f>IFERROR((VLOOKUP(AHU_VAV_SCHEDULE[[#This Row],[MAX VAV
(CFM)]],'DO NOT TOUCH'!$C$9:$D$14,2,TRUE)),"TBD")</f>
        <v>TBD</v>
      </c>
      <c r="G3" s="120">
        <f>G2</f>
        <v>0.5</v>
      </c>
      <c r="H3" s="120">
        <f>AHU_VAV_SCHEDULE[[#This Row],[MIN VAV
(CFM)]]</f>
        <v>0</v>
      </c>
      <c r="I3" s="120">
        <f>INPUT_OUTPUTS!$C$16</f>
        <v>140</v>
      </c>
      <c r="J3" s="120">
        <f>INPUT_OUTPUTS!$C$17</f>
        <v>110</v>
      </c>
      <c r="K3" s="120">
        <f>K2</f>
        <v>55</v>
      </c>
      <c r="L3" s="120">
        <f>L2</f>
        <v>80</v>
      </c>
      <c r="M3" s="120">
        <f>MROUND((1.08*(L3-K3)*AHU_VAV_SCHEDULE[[#This Row],[HEATING AIRFLOW 
(CFM)]])/1000,0.1)</f>
        <v>0</v>
      </c>
      <c r="N3" s="121">
        <f>(M3*1000)/(500*(I3-J3))</f>
        <v>0</v>
      </c>
      <c r="O3" s="121">
        <f>IF(N3&lt;0.5,0.5,N3)</f>
        <v>0.5</v>
      </c>
      <c r="P3" s="121">
        <f>P2</f>
        <v>5</v>
      </c>
      <c r="Q3" s="121" t="str">
        <f>IFERROR((_xlfn.XLOOKUP(F3,'DO NOT TOUCH'!$D$9:$D$14,'DO NOT TOUCH'!$E$9:$E$14,)),"TBD")</f>
        <v>TBD</v>
      </c>
      <c r="R3" s="121">
        <f>INPUT_OUTPUTS!$C$19</f>
        <v>0</v>
      </c>
      <c r="S3" s="120" t="str">
        <f>S2</f>
        <v>1, 2</v>
      </c>
    </row>
    <row r="4" spans="1:19" ht="15">
      <c r="A4" s="112" t="s">
        <v>77</v>
      </c>
      <c r="B4" s="113"/>
      <c r="C4" s="113"/>
      <c r="D4" s="113"/>
      <c r="E4" s="114"/>
      <c r="F4" s="114"/>
      <c r="G4" s="114"/>
      <c r="H4" s="114"/>
      <c r="I4" s="114"/>
      <c r="J4" s="114"/>
      <c r="K4" s="114"/>
      <c r="L4" s="114"/>
      <c r="M4" s="114">
        <f ca="1">SUBTOTAL(109,AHU_VAV_SCHEDULE[MIN MBH])</f>
        <v>106</v>
      </c>
      <c r="N4" s="114"/>
      <c r="O4" s="115">
        <f ca="1">SUBTOTAL(109,AHU_VAV_SCHEDULE[GPM])</f>
        <v>7.5666666666666664</v>
      </c>
      <c r="P4" s="114"/>
      <c r="Q4" s="114"/>
      <c r="R4" s="114"/>
      <c r="S4" s="116"/>
    </row>
  </sheetData>
  <pageMargins left="0.7" right="0.7" top="0.75" bottom="0.75" header="0.3" footer="0.3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94628-583D-45FD-A14B-37602AA4B733}">
  <sheetPr codeName="Sheet13">
    <tabColor rgb="FFFFC000"/>
  </sheetPr>
  <dimension ref="B3:E33"/>
  <sheetViews>
    <sheetView topLeftCell="A5" zoomScale="79" workbookViewId="0">
      <selection activeCell="B20" sqref="B20"/>
    </sheetView>
  </sheetViews>
  <sheetFormatPr defaultRowHeight="13.2"/>
  <cols>
    <col min="1" max="1" width="15.77734375" bestFit="1" customWidth="1"/>
    <col min="2" max="2" width="94.33203125" bestFit="1" customWidth="1"/>
    <col min="3" max="3" width="28.88671875" customWidth="1"/>
    <col min="4" max="4" width="29.44140625" customWidth="1"/>
    <col min="5" max="5" width="26.109375" customWidth="1"/>
  </cols>
  <sheetData>
    <row r="3" spans="2:5" ht="19.2" thickBot="1">
      <c r="B3" s="290" t="s">
        <v>723</v>
      </c>
      <c r="C3" s="291" t="s">
        <v>726</v>
      </c>
      <c r="D3" s="291" t="s">
        <v>725</v>
      </c>
      <c r="E3" s="292" t="s">
        <v>724</v>
      </c>
    </row>
    <row r="4" spans="2:5" ht="18.600000000000001">
      <c r="B4" s="318"/>
      <c r="C4" s="318"/>
      <c r="D4" s="318"/>
      <c r="E4" s="318"/>
    </row>
    <row r="5" spans="2:5" ht="18.600000000000001">
      <c r="B5" s="318"/>
      <c r="C5" s="318"/>
      <c r="D5" s="318"/>
      <c r="E5" s="318"/>
    </row>
    <row r="6" spans="2:5" ht="18.600000000000001">
      <c r="B6" s="318" t="s">
        <v>104</v>
      </c>
      <c r="C6" s="318"/>
      <c r="D6" s="318"/>
      <c r="E6" s="318"/>
    </row>
    <row r="7" spans="2:5" ht="18.600000000000001">
      <c r="B7" s="318" t="s">
        <v>299</v>
      </c>
      <c r="C7" s="318"/>
      <c r="D7" s="318"/>
      <c r="E7" s="318"/>
    </row>
    <row r="8" spans="2:5" ht="18.600000000000001">
      <c r="B8" s="318" t="s">
        <v>312</v>
      </c>
      <c r="C8" s="318"/>
      <c r="D8" s="318"/>
      <c r="E8" s="318"/>
    </row>
    <row r="9" spans="2:5" ht="18.600000000000001">
      <c r="B9" s="318" t="s">
        <v>343</v>
      </c>
      <c r="C9" s="318"/>
      <c r="D9" s="318"/>
      <c r="E9" s="318"/>
    </row>
    <row r="10" spans="2:5" ht="18.600000000000001">
      <c r="B10" s="318" t="s">
        <v>292</v>
      </c>
      <c r="C10" s="318"/>
      <c r="D10" s="318"/>
      <c r="E10" s="318"/>
    </row>
    <row r="11" spans="2:5" ht="18.600000000000001">
      <c r="B11" s="318" t="s">
        <v>359</v>
      </c>
      <c r="C11" s="318"/>
      <c r="D11" s="318"/>
      <c r="E11" s="318"/>
    </row>
    <row r="12" spans="2:5" ht="18.600000000000001">
      <c r="B12" s="318" t="s">
        <v>345</v>
      </c>
      <c r="C12" s="318"/>
      <c r="D12" s="318"/>
      <c r="E12" s="318"/>
    </row>
    <row r="13" spans="2:5" ht="18.600000000000001">
      <c r="B13" s="318" t="s">
        <v>282</v>
      </c>
      <c r="C13" s="318"/>
      <c r="D13" s="318"/>
      <c r="E13" s="318"/>
    </row>
    <row r="14" spans="2:5" ht="18.600000000000001">
      <c r="B14" s="318" t="s">
        <v>268</v>
      </c>
      <c r="C14" s="318"/>
      <c r="D14" s="318"/>
      <c r="E14" s="318"/>
    </row>
    <row r="15" spans="2:5" ht="18.600000000000001">
      <c r="B15" s="318" t="s">
        <v>284</v>
      </c>
      <c r="C15" s="318"/>
      <c r="D15" s="318"/>
      <c r="E15" s="318"/>
    </row>
    <row r="16" spans="2:5" ht="18.600000000000001">
      <c r="B16" s="318" t="s">
        <v>75</v>
      </c>
      <c r="C16" s="318"/>
      <c r="D16" s="318"/>
      <c r="E16" s="318"/>
    </row>
    <row r="17" spans="2:5" ht="18.600000000000001">
      <c r="B17" s="318" t="s">
        <v>107</v>
      </c>
      <c r="C17" s="318"/>
      <c r="D17" s="318"/>
      <c r="E17" s="318"/>
    </row>
    <row r="18" spans="2:5" ht="18.600000000000001">
      <c r="B18" s="318" t="s">
        <v>517</v>
      </c>
      <c r="C18" s="318"/>
      <c r="D18" s="318"/>
      <c r="E18" s="318"/>
    </row>
    <row r="19" spans="2:5" ht="18.600000000000001">
      <c r="B19" s="318" t="s">
        <v>565</v>
      </c>
      <c r="C19" s="318"/>
      <c r="D19" s="318"/>
      <c r="E19" s="318"/>
    </row>
    <row r="20" spans="2:5" ht="18.600000000000001">
      <c r="B20" s="318" t="s">
        <v>104</v>
      </c>
      <c r="C20" s="318"/>
      <c r="D20" s="318"/>
      <c r="E20" s="318"/>
    </row>
    <row r="21" spans="2:5" ht="18.600000000000001">
      <c r="B21" s="318" t="s">
        <v>299</v>
      </c>
      <c r="C21" s="318"/>
      <c r="D21" s="318"/>
      <c r="E21" s="318"/>
    </row>
    <row r="22" spans="2:5" ht="18.600000000000001">
      <c r="B22" s="318" t="s">
        <v>312</v>
      </c>
      <c r="C22" s="318"/>
      <c r="D22" s="318"/>
      <c r="E22" s="318"/>
    </row>
    <row r="23" spans="2:5" ht="18.600000000000001">
      <c r="B23" s="318" t="s">
        <v>343</v>
      </c>
      <c r="C23" s="318"/>
      <c r="D23" s="318"/>
      <c r="E23" s="318"/>
    </row>
    <row r="24" spans="2:5" ht="18.600000000000001">
      <c r="B24" s="318" t="s">
        <v>292</v>
      </c>
      <c r="C24" s="318"/>
      <c r="D24" s="318"/>
      <c r="E24" s="318"/>
    </row>
    <row r="25" spans="2:5" ht="18.600000000000001">
      <c r="B25" s="318" t="s">
        <v>359</v>
      </c>
      <c r="C25" s="318"/>
      <c r="D25" s="318"/>
      <c r="E25" s="318"/>
    </row>
    <row r="26" spans="2:5" ht="18.600000000000001">
      <c r="B26" s="318" t="s">
        <v>345</v>
      </c>
      <c r="C26" s="318"/>
      <c r="D26" s="318"/>
      <c r="E26" s="318"/>
    </row>
    <row r="27" spans="2:5" ht="18.600000000000001">
      <c r="B27" s="318" t="s">
        <v>282</v>
      </c>
      <c r="C27" s="318"/>
      <c r="D27" s="318"/>
      <c r="E27" s="318"/>
    </row>
    <row r="28" spans="2:5" ht="18.600000000000001">
      <c r="B28" s="318" t="s">
        <v>268</v>
      </c>
      <c r="C28" s="318"/>
      <c r="D28" s="318"/>
      <c r="E28" s="318"/>
    </row>
    <row r="29" spans="2:5" ht="18.600000000000001">
      <c r="B29" s="318" t="s">
        <v>284</v>
      </c>
      <c r="C29" s="318"/>
      <c r="D29" s="318"/>
      <c r="E29" s="318"/>
    </row>
    <row r="30" spans="2:5" ht="18.600000000000001">
      <c r="B30" s="318" t="s">
        <v>75</v>
      </c>
      <c r="C30" s="318"/>
      <c r="D30" s="318"/>
      <c r="E30" s="318"/>
    </row>
    <row r="31" spans="2:5" ht="18.600000000000001">
      <c r="B31" s="318" t="s">
        <v>107</v>
      </c>
      <c r="C31" s="318"/>
      <c r="D31" s="318"/>
      <c r="E31" s="318"/>
    </row>
    <row r="32" spans="2:5" ht="18.600000000000001">
      <c r="B32" s="318" t="s">
        <v>517</v>
      </c>
      <c r="C32" s="318"/>
      <c r="D32" s="318"/>
      <c r="E32" s="318"/>
    </row>
    <row r="33" spans="2:5" ht="18.600000000000001">
      <c r="B33" s="318" t="s">
        <v>565</v>
      </c>
      <c r="C33" s="318"/>
      <c r="D33" s="318"/>
      <c r="E33" s="31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025" r:id="rId3" name="Button 1">
              <controlPr defaultSize="0" print="0" autoFill="0" autoPict="0" macro="[0]!CopyUniqueValuesToRoomTemperature" altText="HUMIDIFICATION">
                <anchor moveWithCells="1" sizeWithCells="1">
                  <from>
                    <xdr:col>7</xdr:col>
                    <xdr:colOff>99060</xdr:colOff>
                    <xdr:row>2</xdr:row>
                    <xdr:rowOff>114300</xdr:rowOff>
                  </from>
                  <to>
                    <xdr:col>9</xdr:col>
                    <xdr:colOff>205740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tabColor rgb="FF0070C0"/>
    <pageSetUpPr fitToPage="1"/>
  </sheetPr>
  <dimension ref="A2:BB34"/>
  <sheetViews>
    <sheetView zoomScale="85" zoomScaleNormal="85" workbookViewId="0">
      <selection activeCell="H29" sqref="H29"/>
    </sheetView>
  </sheetViews>
  <sheetFormatPr defaultColWidth="8.88671875" defaultRowHeight="13.2"/>
  <cols>
    <col min="1" max="1" width="10.44140625" bestFit="1" customWidth="1"/>
    <col min="2" max="3" width="11.88671875" bestFit="1" customWidth="1"/>
    <col min="4" max="4" width="15.6640625" bestFit="1" customWidth="1"/>
    <col min="5" max="5" width="9.33203125" customWidth="1"/>
    <col min="6" max="7" width="9.109375" customWidth="1"/>
    <col min="8" max="8" width="10" customWidth="1"/>
    <col min="9" max="12" width="9.109375" customWidth="1"/>
    <col min="13" max="13" width="9.6640625" customWidth="1"/>
    <col min="14" max="14" width="13.44140625" bestFit="1" customWidth="1"/>
    <col min="15" max="15" width="16.88671875" bestFit="1" customWidth="1"/>
    <col min="16" max="16" width="10" bestFit="1" customWidth="1"/>
    <col min="17" max="17" width="9.33203125" customWidth="1"/>
    <col min="18" max="18" width="9.6640625" customWidth="1"/>
    <col min="19" max="19" width="10.109375" bestFit="1" customWidth="1"/>
    <col min="20" max="21" width="10" customWidth="1"/>
    <col min="22" max="22" width="16.88671875" bestFit="1" customWidth="1"/>
    <col min="23" max="24" width="9.44140625" customWidth="1"/>
    <col min="25" max="25" width="10" bestFit="1" customWidth="1"/>
    <col min="26" max="26" width="9.33203125" customWidth="1"/>
    <col min="27" max="27" width="9.6640625" customWidth="1"/>
    <col min="28" max="28" width="9.109375" customWidth="1"/>
    <col min="29" max="29" width="9.33203125" customWidth="1"/>
    <col min="30" max="30" width="9.6640625" customWidth="1"/>
    <col min="31" max="31" width="9.109375" customWidth="1"/>
    <col min="32" max="32" width="10" customWidth="1"/>
    <col min="33" max="33" width="14.6640625" customWidth="1"/>
    <col min="34" max="34" width="16.88671875" bestFit="1" customWidth="1"/>
    <col min="35" max="36" width="9.44140625" customWidth="1"/>
    <col min="37" max="37" width="12" bestFit="1" customWidth="1"/>
    <col min="38" max="38" width="13.6640625" bestFit="1" customWidth="1"/>
    <col min="39" max="39" width="12.6640625" bestFit="1" customWidth="1"/>
    <col min="40" max="40" width="14.109375" customWidth="1"/>
    <col min="41" max="43" width="14.5546875" bestFit="1" customWidth="1"/>
    <col min="44" max="44" width="17" customWidth="1"/>
    <col min="45" max="46" width="14.6640625" bestFit="1" customWidth="1"/>
    <col min="47" max="47" width="13.88671875" customWidth="1" collapsed="1"/>
    <col min="48" max="48" width="8.33203125" customWidth="1"/>
    <col min="49" max="49" width="16.88671875" bestFit="1" customWidth="1"/>
    <col min="50" max="50" width="17.33203125" bestFit="1" customWidth="1"/>
    <col min="51" max="53" width="16.88671875" bestFit="1" customWidth="1"/>
    <col min="54" max="54" width="14.109375" bestFit="1" customWidth="1"/>
  </cols>
  <sheetData>
    <row r="2" spans="1:54">
      <c r="B2" s="23"/>
      <c r="C2" s="23"/>
    </row>
    <row r="8" spans="1:54" s="17" customFormat="1" ht="12.9" customHeight="1">
      <c r="A8" s="356"/>
      <c r="B8" s="353" t="s">
        <v>181</v>
      </c>
      <c r="C8" s="353"/>
      <c r="D8" s="353"/>
      <c r="E8" s="353"/>
      <c r="F8" s="353"/>
      <c r="G8" s="353"/>
      <c r="H8" s="353"/>
      <c r="I8" s="353"/>
      <c r="J8" s="353"/>
      <c r="K8" s="353"/>
      <c r="L8" s="353"/>
      <c r="M8" s="353"/>
      <c r="N8" s="353" t="s">
        <v>182</v>
      </c>
      <c r="O8" s="353"/>
      <c r="P8" s="353"/>
      <c r="Q8" s="353"/>
      <c r="R8" s="353"/>
      <c r="S8" s="353"/>
      <c r="T8" s="353"/>
      <c r="U8" s="353"/>
      <c r="V8" s="353"/>
      <c r="W8" s="353"/>
      <c r="X8" s="353"/>
      <c r="Y8" s="353"/>
      <c r="Z8" s="353" t="s">
        <v>183</v>
      </c>
      <c r="AA8" s="353"/>
      <c r="AB8" s="353"/>
      <c r="AC8" s="353"/>
      <c r="AD8" s="353"/>
      <c r="AE8" s="353"/>
      <c r="AF8" s="353"/>
      <c r="AG8" s="353"/>
      <c r="AH8" s="353"/>
      <c r="AI8" s="353"/>
      <c r="AJ8" s="353"/>
      <c r="AK8" s="353"/>
      <c r="AL8" s="353" t="s">
        <v>184</v>
      </c>
      <c r="AM8" s="353"/>
      <c r="AN8" s="353"/>
      <c r="AO8" s="353" t="str">
        <f>IF(INPUT_OUTPUTS!F8&lt;32,"FREEZE PROTECTION COIL","FREEZE PROTECTION COIL(NOT NEEDED)")</f>
        <v>FREEZE PROTECTION COIL</v>
      </c>
      <c r="AP8" s="353"/>
      <c r="AQ8" s="353"/>
      <c r="AR8" s="353"/>
      <c r="AS8" s="353"/>
      <c r="AT8" s="353"/>
      <c r="AU8" s="353"/>
      <c r="AV8" s="353" t="s">
        <v>683</v>
      </c>
      <c r="AW8" s="353"/>
      <c r="AX8" s="353"/>
      <c r="AY8" s="353"/>
      <c r="AZ8" s="353"/>
      <c r="BA8" s="353"/>
      <c r="BB8" s="353"/>
    </row>
    <row r="9" spans="1:54" s="11" customFormat="1" ht="32.25" customHeight="1">
      <c r="A9" s="356"/>
      <c r="B9" s="354" t="s">
        <v>185</v>
      </c>
      <c r="C9" s="354"/>
      <c r="D9" s="354"/>
      <c r="E9" s="354"/>
      <c r="F9" s="354"/>
      <c r="G9" s="354"/>
      <c r="H9" s="354"/>
      <c r="I9" s="354"/>
      <c r="J9" s="354"/>
      <c r="K9" s="354"/>
      <c r="L9" s="354"/>
      <c r="M9" s="356" t="s">
        <v>186</v>
      </c>
      <c r="N9" s="354" t="s">
        <v>187</v>
      </c>
      <c r="O9" s="354"/>
      <c r="P9" s="354"/>
      <c r="Q9" s="354"/>
      <c r="R9" s="354"/>
      <c r="S9" s="354"/>
      <c r="T9" s="355" t="s">
        <v>718</v>
      </c>
      <c r="U9" s="355"/>
      <c r="V9" s="357" t="s">
        <v>188</v>
      </c>
      <c r="W9" s="356" t="s">
        <v>189</v>
      </c>
      <c r="X9" s="356"/>
      <c r="Y9" s="356"/>
      <c r="Z9" s="354" t="s">
        <v>187</v>
      </c>
      <c r="AA9" s="354"/>
      <c r="AB9" s="354"/>
      <c r="AC9" s="354"/>
      <c r="AD9" s="354"/>
      <c r="AE9" s="354"/>
      <c r="AF9" s="355" t="s">
        <v>719</v>
      </c>
      <c r="AG9" s="355"/>
      <c r="AH9" s="357" t="s">
        <v>188</v>
      </c>
      <c r="AI9" s="356" t="s">
        <v>190</v>
      </c>
      <c r="AJ9" s="356"/>
      <c r="AK9" s="356"/>
      <c r="AL9" s="357" t="s">
        <v>191</v>
      </c>
      <c r="AM9" s="354" t="s">
        <v>192</v>
      </c>
      <c r="AN9" s="354" t="s">
        <v>193</v>
      </c>
      <c r="AO9" s="128"/>
      <c r="AP9" s="354" t="s">
        <v>194</v>
      </c>
      <c r="AQ9" s="354"/>
      <c r="AR9" s="128"/>
      <c r="AS9" s="356" t="s">
        <v>195</v>
      </c>
      <c r="AT9" s="356"/>
      <c r="AU9" s="356"/>
      <c r="AV9" s="127"/>
      <c r="AW9" s="128"/>
      <c r="AX9" s="128"/>
      <c r="AY9" s="128"/>
      <c r="AZ9" s="128"/>
      <c r="BA9" s="128"/>
      <c r="BB9" s="129"/>
    </row>
    <row r="10" spans="1:54" s="11" customFormat="1" ht="25.5" customHeight="1">
      <c r="A10" s="356"/>
      <c r="B10" s="127" t="s">
        <v>196</v>
      </c>
      <c r="C10" s="359" t="s">
        <v>197</v>
      </c>
      <c r="D10" s="359"/>
      <c r="E10" s="360"/>
      <c r="F10" s="358" t="s">
        <v>198</v>
      </c>
      <c r="G10" s="359"/>
      <c r="H10" s="360"/>
      <c r="I10" s="358" t="s">
        <v>199</v>
      </c>
      <c r="J10" s="359"/>
      <c r="K10" s="360"/>
      <c r="L10" s="127" t="s">
        <v>200</v>
      </c>
      <c r="M10" s="356"/>
      <c r="N10" s="356" t="s">
        <v>201</v>
      </c>
      <c r="O10" s="356"/>
      <c r="P10" s="356"/>
      <c r="Q10" s="356" t="s">
        <v>202</v>
      </c>
      <c r="R10" s="356"/>
      <c r="S10" s="356"/>
      <c r="T10" s="127" t="s">
        <v>203</v>
      </c>
      <c r="U10" s="127" t="s">
        <v>204</v>
      </c>
      <c r="V10" s="357"/>
      <c r="W10" s="356"/>
      <c r="X10" s="356"/>
      <c r="Y10" s="356"/>
      <c r="Z10" s="356" t="s">
        <v>201</v>
      </c>
      <c r="AA10" s="356"/>
      <c r="AB10" s="356"/>
      <c r="AC10" s="356" t="s">
        <v>202</v>
      </c>
      <c r="AD10" s="356"/>
      <c r="AE10" s="356"/>
      <c r="AF10" s="127" t="s">
        <v>203</v>
      </c>
      <c r="AG10" s="127" t="s">
        <v>204</v>
      </c>
      <c r="AH10" s="357"/>
      <c r="AI10" s="130" t="s">
        <v>55</v>
      </c>
      <c r="AJ10" s="130" t="s">
        <v>205</v>
      </c>
      <c r="AK10" s="127" t="s">
        <v>206</v>
      </c>
      <c r="AL10" s="357"/>
      <c r="AM10" s="354"/>
      <c r="AN10" s="354"/>
      <c r="AO10" s="127" t="s">
        <v>207</v>
      </c>
      <c r="AP10" s="127" t="s">
        <v>201</v>
      </c>
      <c r="AQ10" s="127" t="s">
        <v>208</v>
      </c>
      <c r="AR10" s="127" t="s">
        <v>203</v>
      </c>
      <c r="AS10" s="130" t="s">
        <v>55</v>
      </c>
      <c r="AT10" s="130" t="s">
        <v>205</v>
      </c>
      <c r="AU10" s="127" t="s">
        <v>206</v>
      </c>
      <c r="AV10" s="127" t="s">
        <v>207</v>
      </c>
      <c r="AW10" s="127" t="s">
        <v>201</v>
      </c>
      <c r="AX10" s="127" t="s">
        <v>208</v>
      </c>
      <c r="AY10" s="127" t="s">
        <v>203</v>
      </c>
      <c r="AZ10" s="130" t="s">
        <v>55</v>
      </c>
      <c r="BA10" s="130" t="s">
        <v>205</v>
      </c>
      <c r="BB10" s="127" t="s">
        <v>1</v>
      </c>
    </row>
    <row r="11" spans="1:54" s="10" customFormat="1" ht="14.4">
      <c r="A11" s="131" t="s">
        <v>209</v>
      </c>
      <c r="B11" s="132" t="s">
        <v>210</v>
      </c>
      <c r="C11" s="132" t="s">
        <v>211</v>
      </c>
      <c r="D11" s="132" t="s">
        <v>212</v>
      </c>
      <c r="E11" s="132" t="s">
        <v>213</v>
      </c>
      <c r="F11" s="132" t="s">
        <v>214</v>
      </c>
      <c r="G11" s="133" t="s">
        <v>215</v>
      </c>
      <c r="H11" s="133" t="s">
        <v>216</v>
      </c>
      <c r="I11" s="132" t="s">
        <v>217</v>
      </c>
      <c r="J11" s="133" t="s">
        <v>218</v>
      </c>
      <c r="K11" s="133" t="s">
        <v>219</v>
      </c>
      <c r="L11" s="133" t="s">
        <v>220</v>
      </c>
      <c r="M11" s="132" t="s">
        <v>221</v>
      </c>
      <c r="N11" s="133" t="s">
        <v>222</v>
      </c>
      <c r="O11" s="133" t="s">
        <v>223</v>
      </c>
      <c r="P11" s="133" t="s">
        <v>224</v>
      </c>
      <c r="Q11" s="133" t="s">
        <v>225</v>
      </c>
      <c r="R11" s="133" t="s">
        <v>226</v>
      </c>
      <c r="S11" s="133" t="s">
        <v>227</v>
      </c>
      <c r="T11" s="132" t="s">
        <v>228</v>
      </c>
      <c r="U11" s="132" t="s">
        <v>229</v>
      </c>
      <c r="V11" s="134" t="s">
        <v>230</v>
      </c>
      <c r="W11" s="134" t="s">
        <v>231</v>
      </c>
      <c r="X11" s="134" t="s">
        <v>232</v>
      </c>
      <c r="Y11" s="134" t="s">
        <v>1</v>
      </c>
      <c r="Z11" s="133" t="s">
        <v>233</v>
      </c>
      <c r="AA11" s="133" t="s">
        <v>234</v>
      </c>
      <c r="AB11" s="133" t="s">
        <v>235</v>
      </c>
      <c r="AC11" s="133" t="s">
        <v>236</v>
      </c>
      <c r="AD11" s="133" t="s">
        <v>237</v>
      </c>
      <c r="AE11" s="133" t="s">
        <v>238</v>
      </c>
      <c r="AF11" s="132" t="s">
        <v>239</v>
      </c>
      <c r="AG11" s="132" t="s">
        <v>240</v>
      </c>
      <c r="AH11" s="132" t="s">
        <v>241</v>
      </c>
      <c r="AI11" s="134" t="s">
        <v>242</v>
      </c>
      <c r="AJ11" s="134" t="s">
        <v>243</v>
      </c>
      <c r="AK11" s="134" t="s">
        <v>244</v>
      </c>
      <c r="AL11" s="132" t="s">
        <v>245</v>
      </c>
      <c r="AM11" s="135" t="s">
        <v>246</v>
      </c>
      <c r="AN11" s="135" t="s">
        <v>247</v>
      </c>
      <c r="AO11" s="132" t="s">
        <v>248</v>
      </c>
      <c r="AP11" s="133" t="s">
        <v>249</v>
      </c>
      <c r="AQ11" s="133" t="s">
        <v>250</v>
      </c>
      <c r="AR11" s="132" t="s">
        <v>251</v>
      </c>
      <c r="AS11" s="134" t="s">
        <v>252</v>
      </c>
      <c r="AT11" s="134" t="s">
        <v>253</v>
      </c>
      <c r="AU11" s="134" t="s">
        <v>254</v>
      </c>
      <c r="AV11" s="134" t="s">
        <v>52</v>
      </c>
      <c r="AW11" s="133" t="s">
        <v>255</v>
      </c>
      <c r="AX11" s="133" t="s">
        <v>256</v>
      </c>
      <c r="AY11" s="132" t="s">
        <v>257</v>
      </c>
      <c r="AZ11" s="134" t="s">
        <v>681</v>
      </c>
      <c r="BA11" s="134" t="s">
        <v>682</v>
      </c>
      <c r="BB11" s="133" t="s">
        <v>258</v>
      </c>
    </row>
    <row r="12" spans="1:54" s="11" customFormat="1" ht="13.8" hidden="1">
      <c r="A12" s="136"/>
      <c r="B12" s="137" t="e">
        <f>SUM(#REF!)*INPUT_OUTPUTS!$C$18</f>
        <v>#REF!</v>
      </c>
      <c r="C12" s="137" t="e">
        <f>SUM(#REF!)*INPUT_OUTPUTS!$C$18</f>
        <v>#REF!</v>
      </c>
      <c r="D12" s="138">
        <v>78</v>
      </c>
      <c r="E12" s="138">
        <v>60</v>
      </c>
      <c r="F12" s="137" t="e">
        <f>SUM(#REF!)*INPUT_OUTPUTS!$C$18</f>
        <v>#REF!</v>
      </c>
      <c r="G12" s="129">
        <f>INPUT_OUTPUTS!$C$8</f>
        <v>90</v>
      </c>
      <c r="H12" s="129">
        <f>INPUT_OUTPUTS!$C$9</f>
        <v>65</v>
      </c>
      <c r="I12" s="137" t="e">
        <f>AHU_Schedules[[#This Row],[(CFM)3]]</f>
        <v>#REF!</v>
      </c>
      <c r="J12" s="129">
        <f>INPUT_OUTPUTS!$C$10</f>
        <v>80</v>
      </c>
      <c r="K12" s="129">
        <f>INPUT_OUTPUTS!$C$11</f>
        <v>75</v>
      </c>
      <c r="L12" s="129">
        <f>INPUT_OUTPUTS!$F$8</f>
        <v>20</v>
      </c>
      <c r="M12" s="137" t="e">
        <f>C12+F12-B12</f>
        <v>#REF!</v>
      </c>
      <c r="N12" s="129" t="e" cm="1">
        <f t="array" ref="N12">MixedAirTemp(AHU_Schedules[[#This Row],[(CFM)3]],AHU_Schedules[[#This Row],[(˚F db)4]],(AHU_Schedules[[#This Row],[(CFM)2]]-AHU_Schedules[[#This Row],[(CFM)10]]),AHU_Schedules[[#This Row],[(˚F db)]])</f>
        <v>#VALUE!</v>
      </c>
      <c r="O12" s="129" t="e" cm="1">
        <f t="array" ref="O12">MixedAirTemp(AHU_Schedules[[#This Row],[(CFM)3]],AHU_Schedules[[#This Row],[(˚F wb)5]],(AHU_Schedules[[#This Row],[(CFM)2]]-AHU_Schedules[[#This Row],[(CFM)10]]),AHU_Schedules[[#This Row],[(˚F wb)]])</f>
        <v>#VALUE!</v>
      </c>
      <c r="P12" s="129" t="e" cm="1">
        <f t="array" ref="P12">GetMoistAirEnthalpy(AHU_Schedules[[#This Row],[(˚F db)11]],(GetHumRatioFromTWetBulb(AHU_Schedules[[#This Row],[(˚F db)11]],AHU_Schedules[[#This Row],[(˚F wb)12]],GetStandardAtmPressure(INPUT_OUTPUTS!$G$6))))</f>
        <v>#N/A</v>
      </c>
      <c r="Q12" s="139">
        <v>55</v>
      </c>
      <c r="R12" s="139">
        <v>50</v>
      </c>
      <c r="S12" s="129" cm="1">
        <f t="array" ref="S12">GetMoistAirEnthalpy(AHU_Schedules[[#This Row],[(˚F db)13]],(GetHumRatioFromTWetBulb(AHU_Schedules[[#This Row],[(˚F db)13]],AHU_Schedules[[#This Row],[(˚F wb)14]],GetStandardAtmPressure(INPUT_OUTPUTS!$G$6))))</f>
        <v>20.87643265446345</v>
      </c>
      <c r="T12" s="137" t="e">
        <f>B12*1.085*(N12-Q12)</f>
        <v>#REF!</v>
      </c>
      <c r="U12" s="137" t="e">
        <f>4.5*B12*(P12-S12)</f>
        <v>#REF!</v>
      </c>
      <c r="V12" s="130" t="e">
        <f>IF(U12&lt;T12,"INVALID POINT",U12/12000)</f>
        <v>#REF!</v>
      </c>
      <c r="W12" s="130">
        <f>INPUT_OUTPUTS!$C$14</f>
        <v>42</v>
      </c>
      <c r="X12" s="130">
        <f>INPUT_OUTPUTS!$C$15</f>
        <v>56</v>
      </c>
      <c r="Y12" s="140" t="e">
        <f t="shared" ref="Y12" si="0">U12/(500*(X12-W12))</f>
        <v>#REF!</v>
      </c>
      <c r="Z12" s="129" t="e">
        <f>D12*((C12-M12)/B12) + J12*(F12/B12)</f>
        <v>#REF!</v>
      </c>
      <c r="AA12" s="129" t="e">
        <f>TRUNC(E12*((C12-M12)/B12) + K12*(F12/B12),1)</f>
        <v>#REF!</v>
      </c>
      <c r="AB12" s="129" t="e" cm="1">
        <f t="array" ref="AB12">GetMoistAirEnthalpy(AHU_Schedules[[#This Row],[(˚F db)19]],(GetHumRatioFromTWetBulb(AHU_Schedules[[#This Row],[(˚F db)19]],AHU_Schedules[[#This Row],[(˚F wb)20]],GetStandardAtmPressure(INPUT_OUTPUTS!$G$6))))</f>
        <v>#N/A</v>
      </c>
      <c r="AC12" s="129">
        <f>AHU_Schedules[[#This Row],[(˚F db)13]]</f>
        <v>55</v>
      </c>
      <c r="AD12" s="129">
        <f>AHU_Schedules[[#This Row],[(˚F wb)14]]</f>
        <v>50</v>
      </c>
      <c r="AE12" s="129" cm="1">
        <f t="array" ref="AE12">GetMoistAirEnthalpy(AHU_Schedules[[#This Row],[(˚F db)22]],(GetHumRatioFromTWetBulb(AHU_Schedules[[#This Row],[(˚F db)22]],AHU_Schedules[[#This Row],[(˚F wb)23]],GetStandardAtmPressure(INPUT_OUTPUTS!$G$6))))</f>
        <v>20.87643265446345</v>
      </c>
      <c r="AF12" s="137" t="e">
        <f>B12*1.085*(Z12-AC12)</f>
        <v>#REF!</v>
      </c>
      <c r="AG12" s="137" t="e">
        <f>4.5*B12*(AB12-AE12)</f>
        <v>#REF!</v>
      </c>
      <c r="AH12" s="129" t="e">
        <f>IF(AG12&lt;AF12,"INVALID POINT",AG12/12000)</f>
        <v>#REF!</v>
      </c>
      <c r="AI12" s="130">
        <f>INPUT_OUTPUTS!$C$14</f>
        <v>42</v>
      </c>
      <c r="AJ12" s="130">
        <f>INPUT_OUTPUTS!$C$15</f>
        <v>56</v>
      </c>
      <c r="AK12" s="140" t="e">
        <f t="shared" ref="AK12" si="1">AG12/(500*(AJ12-AI12))</f>
        <v>#REF!</v>
      </c>
      <c r="AL12" s="129" t="e">
        <f>MAX(AH12,V12)</f>
        <v>#REF!</v>
      </c>
      <c r="AM12" s="141" t="e">
        <f>B12/AH12</f>
        <v>#REF!</v>
      </c>
      <c r="AN12" s="141" t="e">
        <f>MAX(AHU_Schedules[[#This Row],[GPM33]],AHU_Schedules[[#This Row],[GPM]])</f>
        <v>#REF!</v>
      </c>
      <c r="AO12" s="137" t="e">
        <f>IF(AHU_Schedules[[#This Row],[(˚F db)9]]&lt;35,B12,"NOT NEEDED")</f>
        <v>#REF!</v>
      </c>
      <c r="AP12" s="129">
        <f>IF(AHU_Schedules[[#This Row],[(˚F db)9]]&lt;35,AHU_Schedules[[#This Row],[(˚F db)9]],"NOT NEEDED")</f>
        <v>20</v>
      </c>
      <c r="AQ12" s="129">
        <f>IF(AHU_Schedules[[#This Row],[(˚F db)9]]&lt;35,38,"NOT NEEDED")</f>
        <v>38</v>
      </c>
      <c r="AR12" s="137" t="e">
        <f>IF(AHU_Schedules[[#This Row],[(˚F db)9]]&lt;35,AO12*1.085*(AQ12-AP12)/1000,"NOT NEEDED")</f>
        <v>#REF!</v>
      </c>
      <c r="AS12" s="130">
        <f>IF(AHU_Schedules[[#This Row],[(˚F db)9]]&lt;35,INPUT_OUTPUTS!$C$16,"NOT NEEDED")</f>
        <v>140</v>
      </c>
      <c r="AT12" s="130">
        <f>IF(AHU_Schedules[[#This Row],[(˚F db)9]]&lt;35,INPUT_OUTPUTS!$C$17,"NOT NEEDED")</f>
        <v>110</v>
      </c>
      <c r="AU12" s="140" t="e">
        <f>IF(AHU_Schedules[[#This Row],[(˚F db)9]]&lt;35,(AR12*1000)/(500*(AS12-AT12)),"NOT NEEDED")</f>
        <v>#REF!</v>
      </c>
      <c r="AV12" s="142">
        <v>2000</v>
      </c>
      <c r="AW12" s="129" t="e">
        <f>(AHU_Schedules[[#This Row],[(˚F db)9]]*AHU_Schedules[[#This Row],[(CFM)3]] + AHU_Schedules[[#This Row],[(˚F db)]]*(AHU_Schedules[[#This Row],[CFM]]-AHU_Schedules[[#This Row],[(CFM)3]]))/AHU_Schedules[[#This Row],[CFM]]</f>
        <v>#REF!</v>
      </c>
      <c r="AX12" s="129" t="e">
        <f>IF(AHU_Schedules[[#This Row],[(˚F db)43]]&lt;AHU_Schedules[[#This Row],[(˚F db)13]],AHU_Schedules[[#This Row],[(˚F db)13]],"NOT NEEDED")</f>
        <v>#REF!</v>
      </c>
      <c r="AY12" s="143" t="e">
        <f>IF(AHU_Schedules[[#This Row],[(˚F db)43]]&lt;AHU_Schedules[[#This Row],[(˚F db)13]],(AHU_Schedules[[#This Row],[CFM]]*1.08*(AHU_Schedules[[#This Row],[(˚F db)45]]-AHU_Schedules[[#This Row],[(˚F db)43]]))/1000,"NOT NEEDED")</f>
        <v>#REF!</v>
      </c>
      <c r="AZ12" s="143" t="e">
        <f>IF(AHU_Schedules[[#This Row],[(˚F db)43]]&lt;AHU_Schedules[[#This Row],[(˚F db)13]],INPUT_OUTPUTS!$C$16,"NOT NEEDED")</f>
        <v>#REF!</v>
      </c>
      <c r="BA12" s="143" t="e">
        <f>IF(AHU_Schedules[[#This Row],[(˚F db)43]]&lt;AHU_Schedules[[#This Row],[(˚F db)13]],INPUT_OUTPUTS!$C$17,"NOT NEEDED")</f>
        <v>#REF!</v>
      </c>
      <c r="BB12" s="129" t="e">
        <f>IF(AHU_Schedules[[#This Row],[(˚F db)43]]&lt;AHU_Schedules[[#This Row],[(˚F db)13]],(AHU_Schedules[[#This Row],[(mbh)46]]*1000)/(500*(AHU_Schedules[[#This Row],[(˚F db)392]]-AHU_Schedules[[#This Row],[(˚F db)403]])),"NOT NEEDED")</f>
        <v>#REF!</v>
      </c>
    </row>
    <row r="13" spans="1:54" ht="15.6" thickBot="1">
      <c r="A13" s="18" t="s">
        <v>77</v>
      </c>
      <c r="B13" s="19">
        <f>SUBTOTAL(109,AHU_Schedules[(CFM)])</f>
        <v>0</v>
      </c>
      <c r="C13" s="18"/>
      <c r="D13" s="20"/>
      <c r="E13" s="20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21">
        <f>SUBTOTAL(109,AHU_Schedules[GPM])</f>
        <v>0</v>
      </c>
      <c r="Z13" s="18"/>
      <c r="AA13" s="18"/>
      <c r="AB13" s="18"/>
      <c r="AC13" s="20"/>
      <c r="AD13" s="20"/>
      <c r="AE13" s="18"/>
      <c r="AF13" s="18"/>
      <c r="AG13" s="18"/>
      <c r="AH13" s="18"/>
      <c r="AI13" s="18"/>
      <c r="AJ13" s="18"/>
      <c r="AK13" s="29">
        <f>SUBTOTAL(109,AHU_Schedules[GPM33])</f>
        <v>0</v>
      </c>
      <c r="AL13" s="21">
        <f>SUBTOTAL(109,AHU_Schedules[(Tons)34])</f>
        <v>0</v>
      </c>
      <c r="AM13" s="18"/>
      <c r="AN13" s="22">
        <f>SUBTOTAL(109,AHU_Schedules[GPM MAX])</f>
        <v>0</v>
      </c>
      <c r="AO13" s="18"/>
      <c r="AP13" s="18"/>
      <c r="AQ13" s="18"/>
      <c r="AR13" s="22">
        <f>SUBTOTAL(109,AHU_Schedules[(MBH)])</f>
        <v>0</v>
      </c>
      <c r="AS13" s="18"/>
      <c r="AT13" s="18"/>
      <c r="AU13" s="21">
        <f>SUBTOTAL(109,AHU_Schedules[GPM41])</f>
        <v>0</v>
      </c>
      <c r="AV13" s="21"/>
      <c r="AW13" s="18"/>
      <c r="AX13" s="18"/>
      <c r="AY13" s="21">
        <f>SUBTOTAL(109,AHU_Schedules[(mbh)46])</f>
        <v>0</v>
      </c>
      <c r="AZ13" s="21"/>
      <c r="BA13" s="21"/>
      <c r="BB13" s="21">
        <f>SUBTOTAL(109,AHU_Schedules[(˚F db)46])</f>
        <v>0</v>
      </c>
    </row>
    <row r="14" spans="1:54" ht="13.8" thickTop="1">
      <c r="A14">
        <v>1</v>
      </c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  <c r="Y14">
        <v>25</v>
      </c>
      <c r="Z14">
        <v>26</v>
      </c>
      <c r="AA14">
        <v>27</v>
      </c>
      <c r="AB14">
        <v>28</v>
      </c>
      <c r="AC14">
        <v>29</v>
      </c>
      <c r="AD14">
        <v>30</v>
      </c>
      <c r="AE14">
        <v>31</v>
      </c>
      <c r="AF14">
        <v>32</v>
      </c>
      <c r="AG14">
        <v>33</v>
      </c>
      <c r="AH14">
        <v>34</v>
      </c>
      <c r="AI14">
        <v>35</v>
      </c>
      <c r="AJ14">
        <v>36</v>
      </c>
      <c r="AK14">
        <v>37</v>
      </c>
      <c r="AL14">
        <v>38</v>
      </c>
      <c r="AM14">
        <v>39</v>
      </c>
      <c r="AN14">
        <v>40</v>
      </c>
      <c r="AO14">
        <v>41</v>
      </c>
      <c r="AP14">
        <v>42</v>
      </c>
      <c r="AQ14">
        <v>43</v>
      </c>
      <c r="AR14">
        <v>44</v>
      </c>
      <c r="AS14">
        <v>45</v>
      </c>
      <c r="AT14">
        <v>46</v>
      </c>
      <c r="AU14">
        <v>47</v>
      </c>
      <c r="AV14">
        <v>48</v>
      </c>
      <c r="AW14">
        <v>49</v>
      </c>
      <c r="AX14">
        <v>50</v>
      </c>
      <c r="AY14">
        <v>51</v>
      </c>
      <c r="AZ14">
        <v>52</v>
      </c>
      <c r="BA14">
        <v>53</v>
      </c>
      <c r="BB14">
        <v>54</v>
      </c>
    </row>
    <row r="15" spans="1:54" ht="13.8">
      <c r="R15" s="13"/>
      <c r="S15" s="13"/>
      <c r="Y15" s="14"/>
      <c r="AD15" s="13"/>
      <c r="AE15" s="13"/>
      <c r="AH15" s="14"/>
      <c r="AK15" s="14"/>
      <c r="AL15" s="14"/>
      <c r="AU15" s="14"/>
      <c r="AV15" s="14"/>
    </row>
    <row r="16" spans="1:54" ht="13.8">
      <c r="R16" s="13"/>
      <c r="S16" s="13"/>
      <c r="Y16" s="14"/>
      <c r="AD16" s="13"/>
      <c r="AE16" s="13"/>
      <c r="AH16" s="14"/>
      <c r="AK16" s="14"/>
      <c r="AL16" s="14"/>
      <c r="AU16" s="14"/>
      <c r="AV16" s="14"/>
    </row>
    <row r="17" spans="1:54">
      <c r="B17" s="11"/>
    </row>
    <row r="20" spans="1:54">
      <c r="M20" s="14"/>
    </row>
    <row r="22" spans="1:54">
      <c r="F22" s="11" t="s">
        <v>684</v>
      </c>
    </row>
    <row r="23" spans="1:54">
      <c r="E23" s="87"/>
    </row>
    <row r="30" spans="1:54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</row>
    <row r="31" spans="1:54">
      <c r="A31" s="15"/>
      <c r="B31" s="15"/>
    </row>
    <row r="32" spans="1:54">
      <c r="A32" s="15"/>
      <c r="B32" s="14"/>
      <c r="O32" s="11"/>
    </row>
    <row r="33" spans="1:15">
      <c r="A33" s="15"/>
    </row>
    <row r="34" spans="1:15">
      <c r="O34" s="11"/>
    </row>
  </sheetData>
  <mergeCells count="29">
    <mergeCell ref="AV8:BB8"/>
    <mergeCell ref="A8:A10"/>
    <mergeCell ref="AN9:AN10"/>
    <mergeCell ref="AL8:AN8"/>
    <mergeCell ref="B8:M8"/>
    <mergeCell ref="N8:Y8"/>
    <mergeCell ref="AI9:AK9"/>
    <mergeCell ref="AH9:AH10"/>
    <mergeCell ref="AC10:AE10"/>
    <mergeCell ref="F10:H10"/>
    <mergeCell ref="I10:K10"/>
    <mergeCell ref="V9:V10"/>
    <mergeCell ref="Z8:AK8"/>
    <mergeCell ref="AL9:AL10"/>
    <mergeCell ref="AM9:AM10"/>
    <mergeCell ref="C10:E10"/>
    <mergeCell ref="AO8:AU8"/>
    <mergeCell ref="AP9:AQ9"/>
    <mergeCell ref="T9:U9"/>
    <mergeCell ref="B9:L9"/>
    <mergeCell ref="M9:M10"/>
    <mergeCell ref="N9:S9"/>
    <mergeCell ref="AF9:AG9"/>
    <mergeCell ref="AS9:AU9"/>
    <mergeCell ref="Z9:AE9"/>
    <mergeCell ref="Z10:AB10"/>
    <mergeCell ref="W9:Y10"/>
    <mergeCell ref="N10:P10"/>
    <mergeCell ref="Q10:S10"/>
  </mergeCells>
  <phoneticPr fontId="12" type="noConversion"/>
  <dataValidations disablePrompts="1" count="1">
    <dataValidation type="decimal" operator="greaterThan" allowBlank="1" showInputMessage="1" showErrorMessage="1" sqref="D12:E12 Q12:R12" xr:uid="{E55AABDB-8177-CF49-90BF-0581F35F9A38}">
      <formula1>1</formula1>
    </dataValidation>
  </dataValidations>
  <pageMargins left="0.25" right="0.25" top="0.75" bottom="0.75" header="0.3" footer="0.3"/>
  <pageSetup paperSize="119" scale="31" fitToHeight="0" orientation="landscape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067A3-ADCA-4DFC-9972-0D76EACE510E}">
  <sheetPr codeName="Sheet1"/>
  <dimension ref="A4:AB20"/>
  <sheetViews>
    <sheetView showGridLines="0" showRowColHeaders="0" tabSelected="1" zoomScale="70" zoomScaleNormal="70" workbookViewId="0">
      <selection activeCell="I22" sqref="I22"/>
    </sheetView>
  </sheetViews>
  <sheetFormatPr defaultRowHeight="13.2"/>
  <cols>
    <col min="1" max="1" width="13.88671875" customWidth="1"/>
    <col min="2" max="2" width="20.77734375" customWidth="1"/>
    <col min="3" max="3" width="11.109375" bestFit="1" customWidth="1"/>
    <col min="4" max="4" width="16.33203125" bestFit="1" customWidth="1"/>
    <col min="5" max="5" width="15.6640625" customWidth="1"/>
    <col min="6" max="6" width="16.6640625" customWidth="1"/>
    <col min="7" max="7" width="13.5546875" bestFit="1" customWidth="1"/>
    <col min="8" max="8" width="45.6640625" customWidth="1"/>
    <col min="9" max="9" width="71" customWidth="1"/>
    <col min="10" max="10" width="19.21875" customWidth="1"/>
    <col min="11" max="11" width="18.44140625" customWidth="1"/>
    <col min="12" max="12" width="16.44140625" bestFit="1" customWidth="1"/>
    <col min="13" max="13" width="11.6640625" customWidth="1"/>
    <col min="14" max="14" width="14.5546875" customWidth="1"/>
    <col min="15" max="15" width="10" customWidth="1"/>
    <col min="16" max="16" width="9.109375" customWidth="1"/>
    <col min="17" max="17" width="8.109375" customWidth="1"/>
    <col min="18" max="18" width="17.109375" bestFit="1" customWidth="1"/>
    <col min="19" max="19" width="17.109375" customWidth="1"/>
    <col min="20" max="20" width="14.88671875" customWidth="1"/>
    <col min="21" max="21" width="15.88671875" customWidth="1"/>
    <col min="22" max="22" width="18.44140625" bestFit="1" customWidth="1"/>
    <col min="23" max="23" width="19" customWidth="1"/>
    <col min="24" max="24" width="14.77734375" customWidth="1"/>
    <col min="25" max="25" width="11.6640625" customWidth="1"/>
    <col min="26" max="26" width="15.44140625" customWidth="1"/>
    <col min="27" max="27" width="14.21875" customWidth="1"/>
    <col min="28" max="28" width="21.44140625" customWidth="1"/>
    <col min="29" max="29" width="15.109375" customWidth="1"/>
  </cols>
  <sheetData>
    <row r="4" spans="1:28">
      <c r="A4" s="348" t="s">
        <v>761</v>
      </c>
      <c r="B4" s="349"/>
      <c r="C4" s="349"/>
      <c r="D4" s="349"/>
      <c r="E4" s="349"/>
      <c r="F4" s="349"/>
      <c r="G4" s="349"/>
      <c r="H4" s="348" t="s">
        <v>79</v>
      </c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 t="s">
        <v>259</v>
      </c>
      <c r="Y4" s="348"/>
      <c r="Z4" s="348"/>
      <c r="AA4" s="348"/>
    </row>
    <row r="5" spans="1:28" s="11" customFormat="1" ht="46.8">
      <c r="A5" s="65" t="s">
        <v>81</v>
      </c>
      <c r="B5" s="64" t="s">
        <v>82</v>
      </c>
      <c r="C5" s="65" t="s">
        <v>260</v>
      </c>
      <c r="D5" s="309" t="s">
        <v>745</v>
      </c>
      <c r="E5" s="65" t="s">
        <v>84</v>
      </c>
      <c r="F5" s="65" t="s">
        <v>85</v>
      </c>
      <c r="G5" s="66" t="s">
        <v>86</v>
      </c>
      <c r="H5" s="66" t="s">
        <v>22</v>
      </c>
      <c r="I5" s="65" t="s">
        <v>87</v>
      </c>
      <c r="J5" s="65" t="s">
        <v>25</v>
      </c>
      <c r="K5" s="65" t="s">
        <v>26</v>
      </c>
      <c r="L5" s="65" t="s">
        <v>27</v>
      </c>
      <c r="M5" s="65" t="s">
        <v>28</v>
      </c>
      <c r="N5" s="66" t="s">
        <v>261</v>
      </c>
      <c r="O5" s="67" t="s">
        <v>262</v>
      </c>
      <c r="P5" s="67" t="s">
        <v>263</v>
      </c>
      <c r="Q5" s="67" t="s">
        <v>264</v>
      </c>
      <c r="R5" s="67" t="s">
        <v>34</v>
      </c>
      <c r="S5" s="366" t="s">
        <v>752</v>
      </c>
      <c r="T5" s="366" t="s">
        <v>747</v>
      </c>
      <c r="U5" s="66" t="s">
        <v>37</v>
      </c>
      <c r="V5" s="66" t="s">
        <v>38</v>
      </c>
      <c r="W5" s="65" t="s">
        <v>39</v>
      </c>
      <c r="X5" s="67" t="s">
        <v>265</v>
      </c>
      <c r="Y5" s="67" t="s">
        <v>266</v>
      </c>
      <c r="Z5" s="65" t="s">
        <v>96</v>
      </c>
      <c r="AA5" s="68" t="s">
        <v>41</v>
      </c>
      <c r="AB5" s="69" t="s">
        <v>97</v>
      </c>
    </row>
    <row r="6" spans="1:28" ht="15.6">
      <c r="A6" s="98">
        <v>123</v>
      </c>
      <c r="B6" s="98" t="s">
        <v>748</v>
      </c>
      <c r="C6" s="98">
        <v>250</v>
      </c>
      <c r="D6" s="98">
        <v>-50</v>
      </c>
      <c r="E6" s="98">
        <v>1</v>
      </c>
      <c r="F6" s="117">
        <f>IF((VLOOKUP(Ahu_Ashrae_sheet[[#This Row],[Occupancy Category]],Ashrae90.1Vent[#All],7,FALSE)) = "YES",MROUND(C6/2,5),MROUND(C6,5))</f>
        <v>125</v>
      </c>
      <c r="G6" s="98">
        <v>200</v>
      </c>
      <c r="H6" s="98" t="s">
        <v>72</v>
      </c>
      <c r="I6" s="98" t="s">
        <v>104</v>
      </c>
      <c r="J6" s="100">
        <f>VLOOKUP(Ahu_Ashrae_sheet[[#This Row],[Occupancy Category]],Ashrae90.1Vent[#All],2,FALSE)</f>
        <v>0</v>
      </c>
      <c r="K6" s="100">
        <f>VLOOKUP(Ahu_Ashrae_sheet[[#This Row],[Occupancy Category]],Ashrae90.1Vent[#All],3,FALSE)</f>
        <v>0</v>
      </c>
      <c r="L6" s="100">
        <f>VLOOKUP(Ahu_Ashrae_sheet[[#This Row],[Occupancy Category]],Ashrae90.1Vent[#All],4,FALSE)</f>
        <v>0</v>
      </c>
      <c r="M6" s="100">
        <f>VLOOKUP(Ahu_Ashrae_sheet[[#This Row],[Occupancy Category]],Ashrae90.1Vent[#All],5,FALSE)</f>
        <v>2</v>
      </c>
      <c r="N6" s="100">
        <f>CEILING((L6/1000)*C6,1)</f>
        <v>0</v>
      </c>
      <c r="O6" s="101">
        <f>(Ahu_Ashrae_sheet[[#This Row],[RP
(CFM/PER PERSON)]]*Ahu_Ashrae_sheet[[#This Row],[Occupants]])+(Ahu_Ashrae_sheet[[#This Row],[RA
(CFM/FT²)]]*Ahu_Ashrae_sheet[[#This Row],[AREA 
(FT²)]])</f>
        <v>0</v>
      </c>
      <c r="P6" s="144">
        <v>0.8</v>
      </c>
      <c r="Q6" s="101">
        <f>O6/P6</f>
        <v>0</v>
      </c>
      <c r="R6" s="101">
        <f>Ahu_Ashrae_sheet[[#This Row],[Voz]]</f>
        <v>0</v>
      </c>
      <c r="S6" s="145">
        <v>50</v>
      </c>
      <c r="T6" s="101" t="str">
        <f>IF(Ahu_Ashrae_sheet[[#This Row],[Exhaust Category]] = "NOT APPLICABLE","NR","YES")</f>
        <v>YES</v>
      </c>
      <c r="U6" s="101">
        <f>IF(Ahu_Ashrae_sheet[[#This Row],[Exhaust Category]]="NOT APPLICABLE","NA",VLOOKUP(Ahu_Ashrae_sheet[[#This Row],[Exhaust Category]],ASHRAE_EA_Table[#All],2,FALSE))</f>
        <v>50</v>
      </c>
      <c r="V6" s="101">
        <f>IF(Ahu_Ashrae_sheet[[#This Row],[Exhaust Category]]="NOT APPLICABLE","NA",VLOOKUP(Ahu_Ashrae_sheet[[#This Row],[Exhaust Category]],ASHRAE_EA_Table[#All],3,FALSE))</f>
        <v>0</v>
      </c>
      <c r="W6" s="100">
        <f>Ahu_Ashrae_sheet[[#This Row],[Misc Exhaust From Room]]+(IFERROR(IF(Ahu_Ashrae_sheet[[#This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(CFM/UNIT)]])),0))</f>
        <v>100</v>
      </c>
      <c r="X6" s="145" cm="1">
        <f t="array" aca="1" ref="X6" ca="1">supplyair(Ahu_Ashrae_sheet[[#This Row],[LOAD (CFM)]],Ahu_Ashrae_sheet[[#This Row],[OFFICE STANDARD 
(CFM)]],Ahu_Ashrae_sheet[[#This Row],[OFFICE STANDARD 
(CFM)]],Ahu_Ashrae_sheet[[#This Row],[Desired Room Balance]],Ahu_Ashrae_sheet[[#This Row],[Exhausted?]],Ahu_Ashrae_sheet[[#This Row],[MIN ASHRAE EA
(CFM)]],Ahu_Ashrae_sheet[[#This Row],[Misc Exhaust From Room]])</f>
        <v>200</v>
      </c>
      <c r="Y6" s="145" cm="1">
        <f t="array" aca="1" ref="Y6" ca="1">Returnair(Ahu_Ashrae_sheet[[#This Row],[DESIGN SA(CFM)]],Ahu_Ashrae_sheet[[#This Row],[Desired Room Balance]],Ahu_Ashrae_sheet[[#This Row],[Exhausted?]],Ahu_Ashrae_sheet[[#This Row],[Misc Exhaust From Room]])</f>
        <v>0</v>
      </c>
      <c r="Z6" s="145" cm="1">
        <f t="array" aca="1" ref="Z6" ca="1">Exhaustair(Ahu_Ashrae_sheet[[#This Row],[DESIGN SA(CFM)]],Ahu_Ashrae_sheet[[#This Row],[Exhausted?]],Ahu_Ashrae_sheet[[#This Row],[MIN ASHRAE EA
(CFM)]],Ahu_Ashrae_sheet[[#This Row],[Desired Room Balance]],Ahu_Ashrae_sheet[[#This Row],[Misc Exhaust From Room]])</f>
        <v>250</v>
      </c>
      <c r="AA6" s="101">
        <f ca="1">Ahu_Ashrae_sheet[[#This Row],[DESIGN SA(CFM)]]-Ahu_Ashrae_sheet[[#This Row],[DESIGN RA(CFM)]]-Ahu_Ashrae_sheet[[#This Row],[DESIGN EA(CFM)]]</f>
        <v>-50</v>
      </c>
      <c r="AB6" s="70">
        <f ca="1">Ahu_Ashrae_sheet[[#This Row],[OUTSIDE AIRFLOW (CFM) (Vot)]]/Ahu_Ashrae_sheet[[#This Row],[DESIGN SA(CFM)]]</f>
        <v>0</v>
      </c>
    </row>
    <row r="7" spans="1:28" ht="15.6">
      <c r="A7" s="98">
        <v>344</v>
      </c>
      <c r="B7" s="98" t="s">
        <v>759</v>
      </c>
      <c r="C7" s="98">
        <v>1000</v>
      </c>
      <c r="D7" s="98">
        <v>50</v>
      </c>
      <c r="E7" s="98">
        <v>5</v>
      </c>
      <c r="F7" s="117">
        <f>IF((VLOOKUP(Ahu_Ashrae_sheet[[#This Row],[Occupancy Category]],Ashrae90.1Vent[#All],7,FALSE)) = "YES",MROUND(C7/2,5),MROUND(C7,5))</f>
        <v>1000</v>
      </c>
      <c r="G7" s="98">
        <v>280</v>
      </c>
      <c r="H7" s="98" t="s">
        <v>48</v>
      </c>
      <c r="I7" s="98" t="s">
        <v>267</v>
      </c>
      <c r="J7" s="100">
        <f>VLOOKUP(Ahu_Ashrae_sheet[[#This Row],[Occupancy Category]],Ashrae90.1Vent[#All],2,FALSE)</f>
        <v>5</v>
      </c>
      <c r="K7" s="100">
        <f>VLOOKUP(Ahu_Ashrae_sheet[[#This Row],[Occupancy Category]],Ashrae90.1Vent[#All],3,FALSE)</f>
        <v>0.12</v>
      </c>
      <c r="L7" s="100">
        <f>VLOOKUP(Ahu_Ashrae_sheet[[#This Row],[Occupancy Category]],Ashrae90.1Vent[#All],4,FALSE)</f>
        <v>10</v>
      </c>
      <c r="M7" s="100">
        <f>VLOOKUP(Ahu_Ashrae_sheet[[#This Row],[Occupancy Category]],Ashrae90.1Vent[#All],5,FALSE)</f>
        <v>1</v>
      </c>
      <c r="N7" s="100">
        <f>CEILING((L7/1000)*C7,1)</f>
        <v>10</v>
      </c>
      <c r="O7" s="101">
        <f>(Ahu_Ashrae_sheet[[#This Row],[RP
(CFM/PER PERSON)]]*Ahu_Ashrae_sheet[[#This Row],[Occupants]])+(Ahu_Ashrae_sheet[[#This Row],[RA
(CFM/FT²)]]*Ahu_Ashrae_sheet[[#This Row],[AREA 
(FT²)]])</f>
        <v>170</v>
      </c>
      <c r="P7" s="144">
        <v>0.8</v>
      </c>
      <c r="Q7" s="101">
        <f>O7/P7</f>
        <v>212.5</v>
      </c>
      <c r="R7" s="101">
        <f>Ahu_Ashrae_sheet[[#This Row],[Voz]]</f>
        <v>212.5</v>
      </c>
      <c r="S7" s="145">
        <v>0</v>
      </c>
      <c r="T7" s="101" t="str">
        <f>IF(Ahu_Ashrae_sheet[[#This Row],[Exhaust Category]] = "NOT APPLICABLE","NR","YES")</f>
        <v>NR</v>
      </c>
      <c r="U7" s="101" t="str">
        <f>IF(Ahu_Ashrae_sheet[[#This Row],[Exhaust Category]]="NOT APPLICABLE","NA",VLOOKUP(Ahu_Ashrae_sheet[[#This Row],[Exhaust Category]],ASHRAE_EA_Table[#All],2,FALSE))</f>
        <v>NA</v>
      </c>
      <c r="V7" s="101" t="str">
        <f>IF(Ahu_Ashrae_sheet[[#This Row],[Exhaust Category]]="NOT APPLICABLE","NA",VLOOKUP(Ahu_Ashrae_sheet[[#This Row],[Exhaust Category]],ASHRAE_EA_Table[#All],3,FALSE))</f>
        <v>NA</v>
      </c>
      <c r="W7" s="100">
        <f>Ahu_Ashrae_sheet[[#This Row],[Misc Exhaust From Room]]+(IFERROR(IF(Ahu_Ashrae_sheet[[#This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(CFM/UNIT)]])),0))</f>
        <v>0</v>
      </c>
      <c r="X7" s="145" cm="1">
        <f t="array" aca="1" ref="X7" ca="1">supplyair(Ahu_Ashrae_sheet[[#This Row],[LOAD (CFM)]],Ahu_Ashrae_sheet[[#This Row],[OFFICE STANDARD 
(CFM)]],Ahu_Ashrae_sheet[[#This Row],[OFFICE STANDARD 
(CFM)]],Ahu_Ashrae_sheet[[#This Row],[Desired Room Balance]],Ahu_Ashrae_sheet[[#This Row],[Exhausted?]],Ahu_Ashrae_sheet[[#This Row],[MIN ASHRAE EA
(CFM)]],Ahu_Ashrae_sheet[[#This Row],[Misc Exhaust From Room]])</f>
        <v>1000</v>
      </c>
      <c r="Y7" s="145" cm="1">
        <f t="array" aca="1" ref="Y7" ca="1">Returnair(Ahu_Ashrae_sheet[[#This Row],[DESIGN SA(CFM)]],Ahu_Ashrae_sheet[[#This Row],[Desired Room Balance]],Ahu_Ashrae_sheet[[#This Row],[Exhausted?]],Ahu_Ashrae_sheet[[#This Row],[Misc Exhaust From Room]])</f>
        <v>950</v>
      </c>
      <c r="Z7" s="145" cm="1">
        <f t="array" aca="1" ref="Z7" ca="1">Exhaustair(Ahu_Ashrae_sheet[[#This Row],[DESIGN SA(CFM)]],Ahu_Ashrae_sheet[[#This Row],[Exhausted?]],Ahu_Ashrae_sheet[[#This Row],[MIN ASHRAE EA
(CFM)]],Ahu_Ashrae_sheet[[#This Row],[Desired Room Balance]],Ahu_Ashrae_sheet[[#This Row],[Misc Exhaust From Room]])</f>
        <v>0</v>
      </c>
      <c r="AA7" s="101">
        <f ca="1">Ahu_Ashrae_sheet[[#This Row],[DESIGN SA(CFM)]]-Ahu_Ashrae_sheet[[#This Row],[DESIGN RA(CFM)]]-Ahu_Ashrae_sheet[[#This Row],[DESIGN EA(CFM)]]</f>
        <v>50</v>
      </c>
      <c r="AB7" s="70">
        <f ca="1">Ahu_Ashrae_sheet[[#This Row],[OUTSIDE AIRFLOW (CFM) (Vot)]]/Ahu_Ashrae_sheet[[#This Row],[DESIGN SA(CFM)]]</f>
        <v>0.21249999999999999</v>
      </c>
    </row>
    <row r="8" spans="1:28" ht="15.6">
      <c r="A8" s="98">
        <v>566</v>
      </c>
      <c r="B8" s="98" t="s">
        <v>760</v>
      </c>
      <c r="C8" s="98">
        <v>1000</v>
      </c>
      <c r="D8" s="98">
        <v>50</v>
      </c>
      <c r="E8" s="98">
        <v>5</v>
      </c>
      <c r="F8" s="117">
        <f>IF((VLOOKUP(Ahu_Ashrae_sheet[[#This Row],[Occupancy Category]],Ashrae90.1Vent[#All],7,FALSE)) = "YES",MROUND(C8/2,5),MROUND(C8,5))</f>
        <v>1000</v>
      </c>
      <c r="G8" s="98">
        <v>150</v>
      </c>
      <c r="H8" s="98" t="s">
        <v>48</v>
      </c>
      <c r="I8" s="98" t="s">
        <v>268</v>
      </c>
      <c r="J8" s="100">
        <f>VLOOKUP(Ahu_Ashrae_sheet[[#This Row],[Occupancy Category]],Ashrae90.1Vent[#All],2,FALSE)</f>
        <v>10</v>
      </c>
      <c r="K8" s="100">
        <f>VLOOKUP(Ahu_Ashrae_sheet[[#This Row],[Occupancy Category]],Ashrae90.1Vent[#All],3,FALSE)</f>
        <v>0.18</v>
      </c>
      <c r="L8" s="100">
        <f>VLOOKUP(Ahu_Ashrae_sheet[[#This Row],[Occupancy Category]],Ashrae90.1Vent[#All],4,FALSE)</f>
        <v>20</v>
      </c>
      <c r="M8" s="100">
        <f>VLOOKUP(Ahu_Ashrae_sheet[[#This Row],[Occupancy Category]],Ashrae90.1Vent[#All],5,FALSE)</f>
        <v>3</v>
      </c>
      <c r="N8" s="100">
        <f>CEILING((L8/1000)*C8,1)</f>
        <v>20</v>
      </c>
      <c r="O8" s="101">
        <f>(Ahu_Ashrae_sheet[[#This Row],[RP
(CFM/PER PERSON)]]*Ahu_Ashrae_sheet[[#This Row],[Occupants]])+(Ahu_Ashrae_sheet[[#This Row],[RA
(CFM/FT²)]]*Ahu_Ashrae_sheet[[#This Row],[AREA 
(FT²)]])</f>
        <v>380</v>
      </c>
      <c r="P8" s="144">
        <v>0.8</v>
      </c>
      <c r="Q8" s="101">
        <f>O8/P8</f>
        <v>475</v>
      </c>
      <c r="R8" s="101">
        <f>Ahu_Ashrae_sheet[[#This Row],[Voz]]</f>
        <v>475</v>
      </c>
      <c r="S8" s="145">
        <v>0</v>
      </c>
      <c r="T8" s="101" t="str">
        <f>IF(Ahu_Ashrae_sheet[[#This Row],[Exhaust Category]] = "NOT APPLICABLE","NR","YES")</f>
        <v>NR</v>
      </c>
      <c r="U8" s="101" t="str">
        <f>IF(Ahu_Ashrae_sheet[[#This Row],[Exhaust Category]]="NOT APPLICABLE","NA",VLOOKUP(Ahu_Ashrae_sheet[[#This Row],[Exhaust Category]],ASHRAE_EA_Table[#All],2,FALSE))</f>
        <v>NA</v>
      </c>
      <c r="V8" s="101" t="str">
        <f>IF(Ahu_Ashrae_sheet[[#This Row],[Exhaust Category]]="NOT APPLICABLE","NA",VLOOKUP(Ahu_Ashrae_sheet[[#This Row],[Exhaust Category]],ASHRAE_EA_Table[#All],3,FALSE))</f>
        <v>NA</v>
      </c>
      <c r="W8" s="100">
        <f>Ahu_Ashrae_sheet[[#This Row],[Misc Exhaust From Room]]+(IFERROR(IF(Ahu_Ashrae_sheet[[#This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(CFM/UNIT)]])),0))</f>
        <v>0</v>
      </c>
      <c r="X8" s="145" cm="1">
        <f t="array" aca="1" ref="X8" ca="1">supplyair(Ahu_Ashrae_sheet[[#This Row],[LOAD (CFM)]],Ahu_Ashrae_sheet[[#This Row],[OFFICE STANDARD 
(CFM)]],Ahu_Ashrae_sheet[[#This Row],[OFFICE STANDARD 
(CFM)]],Ahu_Ashrae_sheet[[#This Row],[Desired Room Balance]],Ahu_Ashrae_sheet[[#This Row],[Exhausted?]],Ahu_Ashrae_sheet[[#This Row],[MIN ASHRAE EA
(CFM)]],Ahu_Ashrae_sheet[[#This Row],[Misc Exhaust From Room]])</f>
        <v>1000</v>
      </c>
      <c r="Y8" s="145" cm="1">
        <f t="array" aca="1" ref="Y8" ca="1">Returnair(Ahu_Ashrae_sheet[[#This Row],[DESIGN SA(CFM)]],Ahu_Ashrae_sheet[[#This Row],[Desired Room Balance]],Ahu_Ashrae_sheet[[#This Row],[Exhausted?]],Ahu_Ashrae_sheet[[#This Row],[Misc Exhaust From Room]])</f>
        <v>950</v>
      </c>
      <c r="Z8" s="145" cm="1">
        <f t="array" aca="1" ref="Z8" ca="1">Exhaustair(Ahu_Ashrae_sheet[[#This Row],[DESIGN SA(CFM)]],Ahu_Ashrae_sheet[[#This Row],[Exhausted?]],Ahu_Ashrae_sheet[[#This Row],[MIN ASHRAE EA
(CFM)]],Ahu_Ashrae_sheet[[#This Row],[Desired Room Balance]],Ahu_Ashrae_sheet[[#This Row],[Misc Exhaust From Room]])</f>
        <v>0</v>
      </c>
      <c r="AA8" s="101">
        <f ca="1">Ahu_Ashrae_sheet[[#This Row],[DESIGN SA(CFM)]]-Ahu_Ashrae_sheet[[#This Row],[DESIGN RA(CFM)]]-Ahu_Ashrae_sheet[[#This Row],[DESIGN EA(CFM)]]</f>
        <v>50</v>
      </c>
      <c r="AB8" s="70">
        <f ca="1">Ahu_Ashrae_sheet[[#This Row],[OUTSIDE AIRFLOW (CFM) (Vot)]]/Ahu_Ashrae_sheet[[#This Row],[DESIGN SA(CFM)]]</f>
        <v>0.47499999999999998</v>
      </c>
    </row>
    <row r="9" spans="1:28" ht="15.6">
      <c r="A9" s="293"/>
      <c r="B9" s="294">
        <f>SUBTOTAL(103,Ahu_Ashrae_sheet[Room])</f>
        <v>3</v>
      </c>
      <c r="C9" s="295">
        <f>SUBTOTAL(109,Ahu_Ashrae_sheet[AREA 
(FT²)])</f>
        <v>2250</v>
      </c>
      <c r="D9" s="295"/>
      <c r="E9" s="296"/>
      <c r="F9" s="297"/>
      <c r="G9" s="298">
        <f>SUBTOTAL(109,Ahu_Ashrae_sheet[LOAD (CFM)])</f>
        <v>630</v>
      </c>
      <c r="H9" s="293"/>
      <c r="I9" s="293"/>
      <c r="J9" s="299"/>
      <c r="K9" s="299"/>
      <c r="L9" s="299"/>
      <c r="M9" s="299"/>
      <c r="N9" s="300">
        <f>SUBTOTAL(109,Ahu_Ashrae_sheet[Occupants])</f>
        <v>30</v>
      </c>
      <c r="O9" s="299"/>
      <c r="P9" s="299"/>
      <c r="Q9" s="299"/>
      <c r="R9" s="301">
        <f>SUBTOTAL(109,Ahu_Ashrae_sheet[OUTSIDE AIRFLOW (CFM) (Vot)])</f>
        <v>687.5</v>
      </c>
      <c r="S9" s="301"/>
      <c r="T9" s="301"/>
      <c r="U9" s="299"/>
      <c r="V9" s="299"/>
      <c r="W9" s="299"/>
      <c r="X9" s="301">
        <f ca="1">SUBTOTAL(109,Ahu_Ashrae_sheet[DESIGN SA(CFM)])</f>
        <v>2200</v>
      </c>
      <c r="Y9" s="301">
        <f ca="1">SUBTOTAL(109,Ahu_Ashrae_sheet[DESIGN RA(CFM)])</f>
        <v>1900</v>
      </c>
      <c r="Z9" s="301">
        <f ca="1">SUBTOTAL(109,Ahu_Ashrae_sheet[DESIGN EA(CFM)])</f>
        <v>250</v>
      </c>
      <c r="AA9" s="299"/>
      <c r="AB9" s="76"/>
    </row>
    <row r="20" spans="22:22">
      <c r="V20" s="23"/>
    </row>
  </sheetData>
  <mergeCells count="3">
    <mergeCell ref="A4:G4"/>
    <mergeCell ref="X4:AA4"/>
    <mergeCell ref="H4:W4"/>
  </mergeCells>
  <phoneticPr fontId="9" type="noConversion"/>
  <pageMargins left="0.7" right="0.7" top="0.75" bottom="0.75" header="0.3" footer="0.3"/>
  <ignoredErrors>
    <ignoredError sqref="U6:W6" calculatedColumn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7" r:id="rId3" name="Button 7">
              <controlPr defaultSize="0" print="0" autoFill="0" autoPict="0" macro="[0]!AddRowsToTableWithUserInput" altText="HUMIDIFICATION">
                <anchor moveWithCells="1" sizeWithCells="1">
                  <from>
                    <xdr:col>0</xdr:col>
                    <xdr:colOff>449580</xdr:colOff>
                    <xdr:row>0</xdr:row>
                    <xdr:rowOff>60960</xdr:rowOff>
                  </from>
                  <to>
                    <xdr:col>1</xdr:col>
                    <xdr:colOff>434340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59E1751-F435-4792-AED9-8F254AC74D34}">
          <x14:formula1>
            <xm:f>'ASHRAE Table'!$Q$3:$Q$13</xm:f>
          </x14:formula1>
          <xm:sqref>P6:P8</xm:sqref>
        </x14:dataValidation>
        <x14:dataValidation type="list" allowBlank="1" showInputMessage="1" showErrorMessage="1" xr:uid="{24E0B1E6-5BE9-44A1-B116-13515694B900}">
          <x14:formula1>
            <xm:f>'ASHRAE Table'!$J$2:$J$37</xm:f>
          </x14:formula1>
          <xm:sqref>H6:H8</xm:sqref>
        </x14:dataValidation>
        <x14:dataValidation type="list" allowBlank="1" showInputMessage="1" showErrorMessage="1" xr:uid="{86BBE610-6A86-453B-AA60-63DE32ACEFAB}">
          <x14:formula1>
            <xm:f>'ASHRAE Table'!$A$2:$A$93</xm:f>
          </x14:formula1>
          <xm:sqref>I6:I8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7FE8B-6C2C-46AF-9E1D-2C4B7D142C33}">
  <sheetPr codeName="Sheet7">
    <tabColor rgb="FF0070C0"/>
    <pageSetUpPr fitToPage="1"/>
  </sheetPr>
  <dimension ref="A2:AC33"/>
  <sheetViews>
    <sheetView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M12" sqref="M12"/>
    </sheetView>
  </sheetViews>
  <sheetFormatPr defaultColWidth="8.88671875" defaultRowHeight="13.2"/>
  <cols>
    <col min="1" max="1" width="10.44140625" bestFit="1" customWidth="1"/>
    <col min="2" max="3" width="11.88671875" bestFit="1" customWidth="1"/>
    <col min="4" max="4" width="15.6640625" bestFit="1" customWidth="1"/>
    <col min="5" max="5" width="9.33203125" customWidth="1"/>
    <col min="6" max="7" width="9.109375" customWidth="1"/>
    <col min="8" max="8" width="10" customWidth="1"/>
    <col min="9" max="9" width="13.109375" customWidth="1"/>
    <col min="10" max="10" width="9.6640625" customWidth="1"/>
    <col min="11" max="11" width="13.44140625" bestFit="1" customWidth="1"/>
    <col min="12" max="12" width="13.88671875" bestFit="1" customWidth="1"/>
    <col min="13" max="13" width="10" bestFit="1" customWidth="1"/>
    <col min="14" max="14" width="9.33203125" customWidth="1"/>
    <col min="15" max="15" width="9.6640625" customWidth="1"/>
    <col min="16" max="16" width="10.109375" bestFit="1" customWidth="1"/>
    <col min="17" max="18" width="10" customWidth="1"/>
    <col min="19" max="19" width="16.88671875" bestFit="1" customWidth="1"/>
    <col min="20" max="21" width="9.44140625" customWidth="1"/>
    <col min="22" max="22" width="10" bestFit="1" customWidth="1"/>
    <col min="23" max="23" width="11.5546875" customWidth="1"/>
    <col min="24" max="24" width="10.5546875" customWidth="1"/>
    <col min="25" max="25" width="13.44140625" bestFit="1" customWidth="1"/>
    <col min="26" max="26" width="14.5546875" bestFit="1" customWidth="1"/>
    <col min="27" max="28" width="14.5546875" customWidth="1"/>
    <col min="29" max="29" width="13.44140625" bestFit="1" customWidth="1"/>
  </cols>
  <sheetData>
    <row r="2" spans="1:29">
      <c r="B2" s="23"/>
      <c r="C2" s="23"/>
    </row>
    <row r="8" spans="1:29" s="17" customFormat="1" ht="12.9" customHeight="1">
      <c r="A8" s="356"/>
      <c r="B8" s="353" t="s">
        <v>181</v>
      </c>
      <c r="C8" s="353"/>
      <c r="D8" s="353"/>
      <c r="E8" s="353"/>
      <c r="F8" s="353"/>
      <c r="G8" s="353"/>
      <c r="H8" s="353"/>
      <c r="I8" s="353"/>
      <c r="J8" s="353"/>
      <c r="K8" s="353" t="s">
        <v>715</v>
      </c>
      <c r="L8" s="353"/>
      <c r="M8" s="353"/>
      <c r="N8" s="353"/>
      <c r="O8" s="353"/>
      <c r="P8" s="353"/>
      <c r="Q8" s="353"/>
      <c r="R8" s="353"/>
      <c r="S8" s="353"/>
      <c r="T8" s="353"/>
      <c r="U8" s="353"/>
      <c r="V8" s="353"/>
      <c r="W8" s="353" t="s">
        <v>716</v>
      </c>
      <c r="X8" s="353"/>
      <c r="Y8" s="353"/>
      <c r="Z8" s="353"/>
      <c r="AA8" s="353"/>
      <c r="AB8" s="353"/>
      <c r="AC8" s="353"/>
    </row>
    <row r="9" spans="1:29" s="11" customFormat="1" ht="32.25" customHeight="1">
      <c r="A9" s="356"/>
      <c r="B9" s="354" t="s">
        <v>714</v>
      </c>
      <c r="C9" s="354"/>
      <c r="D9" s="354"/>
      <c r="E9" s="354"/>
      <c r="F9" s="354"/>
      <c r="G9" s="354"/>
      <c r="H9" s="354"/>
      <c r="I9" s="354"/>
      <c r="J9" s="356" t="s">
        <v>186</v>
      </c>
      <c r="K9" s="354" t="s">
        <v>187</v>
      </c>
      <c r="L9" s="354"/>
      <c r="M9" s="354"/>
      <c r="N9" s="354"/>
      <c r="O9" s="354"/>
      <c r="P9" s="354"/>
      <c r="Q9" s="355" t="s">
        <v>717</v>
      </c>
      <c r="R9" s="355"/>
      <c r="S9" s="357" t="s">
        <v>188</v>
      </c>
      <c r="T9" s="356" t="s">
        <v>189</v>
      </c>
      <c r="U9" s="356"/>
      <c r="V9" s="356"/>
      <c r="W9" s="127"/>
      <c r="X9" s="128"/>
      <c r="Y9" s="128"/>
      <c r="Z9" s="128"/>
      <c r="AA9" s="128"/>
      <c r="AB9" s="128"/>
      <c r="AC9" s="129"/>
    </row>
    <row r="10" spans="1:29" s="11" customFormat="1" ht="26.4">
      <c r="A10" s="356"/>
      <c r="B10" s="127" t="s">
        <v>196</v>
      </c>
      <c r="C10" s="359" t="s">
        <v>197</v>
      </c>
      <c r="D10" s="359"/>
      <c r="E10" s="360"/>
      <c r="F10" s="358" t="s">
        <v>722</v>
      </c>
      <c r="G10" s="359"/>
      <c r="H10" s="360"/>
      <c r="I10" s="127" t="s">
        <v>200</v>
      </c>
      <c r="J10" s="356"/>
      <c r="K10" s="356" t="s">
        <v>201</v>
      </c>
      <c r="L10" s="356"/>
      <c r="M10" s="356"/>
      <c r="N10" s="356" t="s">
        <v>202</v>
      </c>
      <c r="O10" s="356"/>
      <c r="P10" s="356"/>
      <c r="Q10" s="127" t="s">
        <v>203</v>
      </c>
      <c r="R10" s="127" t="s">
        <v>204</v>
      </c>
      <c r="S10" s="357"/>
      <c r="T10" s="356"/>
      <c r="U10" s="356"/>
      <c r="V10" s="356"/>
      <c r="W10" s="127" t="s">
        <v>207</v>
      </c>
      <c r="X10" s="127" t="s">
        <v>201</v>
      </c>
      <c r="Y10" s="127" t="s">
        <v>208</v>
      </c>
      <c r="Z10" s="127" t="s">
        <v>203</v>
      </c>
      <c r="AA10" s="130" t="s">
        <v>55</v>
      </c>
      <c r="AB10" s="130" t="s">
        <v>205</v>
      </c>
      <c r="AC10" s="127" t="s">
        <v>1</v>
      </c>
    </row>
    <row r="11" spans="1:29" s="10" customFormat="1" ht="14.4">
      <c r="A11" s="131" t="s">
        <v>209</v>
      </c>
      <c r="B11" s="132" t="s">
        <v>210</v>
      </c>
      <c r="C11" s="132" t="s">
        <v>211</v>
      </c>
      <c r="D11" s="132" t="s">
        <v>212</v>
      </c>
      <c r="E11" s="132" t="s">
        <v>213</v>
      </c>
      <c r="F11" s="132" t="s">
        <v>214</v>
      </c>
      <c r="G11" s="133" t="s">
        <v>215</v>
      </c>
      <c r="H11" s="133" t="s">
        <v>216</v>
      </c>
      <c r="I11" s="133" t="s">
        <v>220</v>
      </c>
      <c r="J11" s="132" t="s">
        <v>221</v>
      </c>
      <c r="K11" s="133" t="s">
        <v>222</v>
      </c>
      <c r="L11" s="133" t="s">
        <v>223</v>
      </c>
      <c r="M11" s="133" t="s">
        <v>224</v>
      </c>
      <c r="N11" s="133" t="s">
        <v>225</v>
      </c>
      <c r="O11" s="133" t="s">
        <v>226</v>
      </c>
      <c r="P11" s="133" t="s">
        <v>227</v>
      </c>
      <c r="Q11" s="132" t="s">
        <v>228</v>
      </c>
      <c r="R11" s="132" t="s">
        <v>229</v>
      </c>
      <c r="S11" s="134" t="s">
        <v>230</v>
      </c>
      <c r="T11" s="134" t="s">
        <v>231</v>
      </c>
      <c r="U11" s="134" t="s">
        <v>232</v>
      </c>
      <c r="V11" s="134" t="s">
        <v>1</v>
      </c>
      <c r="W11" s="134" t="s">
        <v>52</v>
      </c>
      <c r="X11" s="133" t="s">
        <v>255</v>
      </c>
      <c r="Y11" s="133" t="s">
        <v>256</v>
      </c>
      <c r="Z11" s="132" t="s">
        <v>257</v>
      </c>
      <c r="AA11" s="134" t="s">
        <v>681</v>
      </c>
      <c r="AB11" s="134" t="s">
        <v>682</v>
      </c>
      <c r="AC11" s="133" t="s">
        <v>258</v>
      </c>
    </row>
    <row r="12" spans="1:29" s="11" customFormat="1" ht="13.8">
      <c r="A12" s="136"/>
      <c r="B12" s="137">
        <v>1000</v>
      </c>
      <c r="C12" s="137">
        <v>800</v>
      </c>
      <c r="D12" s="138">
        <v>78</v>
      </c>
      <c r="E12" s="138">
        <v>60</v>
      </c>
      <c r="F12" s="137">
        <v>200</v>
      </c>
      <c r="G12" s="129">
        <f>INPUT_OUTPUTS!$C$8</f>
        <v>90</v>
      </c>
      <c r="H12" s="129">
        <f>INPUT_OUTPUTS!$C$9</f>
        <v>65</v>
      </c>
      <c r="I12" s="129">
        <f>INPUT_OUTPUTS!$F$8</f>
        <v>20</v>
      </c>
      <c r="J12" s="137">
        <f>C12+F12-B12</f>
        <v>0</v>
      </c>
      <c r="K12" s="129" cm="1">
        <f t="array" aca="1" ref="K12" ca="1">MixedAirTemp(Table721[[#This Row],[(CFM)3]],Table721[[#This Row],[(˚F db)4]],(Table721[[#This Row],[(CFM)2]]-Table721[[#This Row],[(CFM)10]]),Table721[[#This Row],[(˚F db)]])</f>
        <v>80.400000000000006</v>
      </c>
      <c r="L12" s="129" cm="1">
        <f t="array" aca="1" ref="L12" ca="1">MixedAirTemp(Table721[[#This Row],[(CFM)3]],Table721[[#This Row],[(˚F wb)5]],(Table721[[#This Row],[(CFM)2]]-Table721[[#This Row],[(CFM)10]]),Table721[[#This Row],[(˚F wb)]])</f>
        <v>61</v>
      </c>
      <c r="M12" s="129" cm="1">
        <f t="array" aca="1" ref="M12" ca="1">GetMoistAirEnthalpy(Table721[[#This Row],[(˚F db)11]],(GetHumRatioFromTWetBulb(Table721[[#This Row],[(˚F db)11]],Table721[[#This Row],[(˚F wb)12]],GetStandardAtmPressure(INPUT_OUTPUTS!$G$6))))</f>
        <v>27.92618473345695</v>
      </c>
      <c r="N12" s="139">
        <v>55</v>
      </c>
      <c r="O12" s="139">
        <v>50</v>
      </c>
      <c r="P12" s="129" cm="1">
        <f t="array" ref="P12">GetMoistAirEnthalpy(Table721[[#This Row],[(˚F db)13]],(GetHumRatioFromTWetBulb(Table721[[#This Row],[(˚F db)13]],Table721[[#This Row],[(˚F wb)14]],GetStandardAtmPressure(INPUT_OUTPUTS!$G$6))))</f>
        <v>20.87643265446345</v>
      </c>
      <c r="Q12" s="137">
        <f ca="1">B12*1.085*(K12-N12)</f>
        <v>27559.000000000007</v>
      </c>
      <c r="R12" s="137">
        <f ca="1">4.5*B12*(M12-P12)</f>
        <v>31723.884355470749</v>
      </c>
      <c r="S12" s="289">
        <f ca="1">IF(R12&lt;Q12,"INVALID POINT",R12/12000)</f>
        <v>2.6436570296225623</v>
      </c>
      <c r="T12" s="130">
        <f>INPUT_OUTPUTS!$C$14</f>
        <v>42</v>
      </c>
      <c r="U12" s="130">
        <f>INPUT_OUTPUTS!$C$15</f>
        <v>56</v>
      </c>
      <c r="V12" s="140">
        <f t="shared" ref="V12" ca="1" si="0">R12/(500*(U12-T12))</f>
        <v>4.5319834793529639</v>
      </c>
      <c r="W12" s="129">
        <f>Table721[[#This Row],[(CFM)]]</f>
        <v>1000</v>
      </c>
      <c r="X12" s="129">
        <f>(Table721[[#This Row],[(˚F db)9]]*Table721[[#This Row],[(CFM)3]] + Table721[[#This Row],[(˚F db)]]*(Table721[[#This Row],[CFM]]-Table721[[#This Row],[(CFM)3]]))/Table721[[#This Row],[CFM]]</f>
        <v>66.400000000000006</v>
      </c>
      <c r="Y12" s="139">
        <v>85</v>
      </c>
      <c r="Z12" s="143">
        <f>(Table721[[#This Row],[CFM]]*1.08*(Table721[[#This Row],[(˚F db)45]]-Table721[[#This Row],[(˚F db)43]]))/1000</f>
        <v>20.087999999999994</v>
      </c>
      <c r="AA12" s="143">
        <f>INPUT_OUTPUTS!$C$16</f>
        <v>140</v>
      </c>
      <c r="AB12" s="143">
        <f>INPUT_OUTPUTS!$C$17</f>
        <v>110</v>
      </c>
      <c r="AC12" s="129">
        <f>(Table721[[#This Row],[(mbh)46]]*1000)/(500*(Table721[[#This Row],[(˚F db)392]]-Table721[[#This Row],[(˚F db)403]]))</f>
        <v>1.3391999999999995</v>
      </c>
    </row>
    <row r="13" spans="1:29" ht="15.6" thickBot="1">
      <c r="A13" s="18" t="s">
        <v>77</v>
      </c>
      <c r="B13" s="19">
        <f>SUBTOTAL(109,Table721[(CFM)])</f>
        <v>1000</v>
      </c>
      <c r="C13" s="18"/>
      <c r="D13" s="20"/>
      <c r="E13" s="20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21">
        <f ca="1">SUBTOTAL(109,Table721[GPM])</f>
        <v>4.5319834793529639</v>
      </c>
      <c r="W13" s="21"/>
      <c r="X13" s="18"/>
      <c r="Y13" s="18"/>
      <c r="Z13" s="21">
        <f>SUBTOTAL(109,Table721[(mbh)46])</f>
        <v>20.087999999999994</v>
      </c>
      <c r="AA13" s="21"/>
      <c r="AB13" s="21"/>
      <c r="AC13" s="21">
        <f>SUBTOTAL(109,Table721[(˚F db)46])</f>
        <v>1.3391999999999995</v>
      </c>
    </row>
    <row r="14" spans="1:29" ht="13.8" thickTop="1"/>
    <row r="15" spans="1:29" ht="13.8">
      <c r="O15" s="13"/>
      <c r="P15" s="13"/>
      <c r="V15" s="14"/>
      <c r="W15" s="14"/>
    </row>
    <row r="16" spans="1:29" ht="13.8">
      <c r="O16" s="13"/>
      <c r="P16" s="13"/>
      <c r="V16" s="14"/>
      <c r="W16" s="14"/>
    </row>
    <row r="17" spans="1:29">
      <c r="B17" s="11"/>
    </row>
    <row r="20" spans="1:29">
      <c r="J20" s="14"/>
    </row>
    <row r="22" spans="1:29">
      <c r="F22" s="11" t="s">
        <v>684</v>
      </c>
    </row>
    <row r="23" spans="1:29">
      <c r="E23" s="87"/>
    </row>
    <row r="30" spans="1:29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</row>
    <row r="31" spans="1:29">
      <c r="A31" s="15"/>
      <c r="B31" s="15"/>
    </row>
    <row r="32" spans="1:29">
      <c r="A32" s="15"/>
      <c r="B32" s="14"/>
    </row>
    <row r="33" spans="1:1">
      <c r="A33" s="15"/>
    </row>
  </sheetData>
  <mergeCells count="14">
    <mergeCell ref="A8:A10"/>
    <mergeCell ref="B8:J8"/>
    <mergeCell ref="K8:V8"/>
    <mergeCell ref="C10:E10"/>
    <mergeCell ref="F10:H10"/>
    <mergeCell ref="K10:M10"/>
    <mergeCell ref="N10:P10"/>
    <mergeCell ref="W8:AC8"/>
    <mergeCell ref="B9:I9"/>
    <mergeCell ref="J9:J10"/>
    <mergeCell ref="K9:P9"/>
    <mergeCell ref="Q9:R9"/>
    <mergeCell ref="S9:S10"/>
    <mergeCell ref="T9:V10"/>
  </mergeCells>
  <dataValidations count="1">
    <dataValidation type="decimal" operator="greaterThan" allowBlank="1" showInputMessage="1" showErrorMessage="1" sqref="D12:E12 N12:O12" xr:uid="{36B62E85-565F-4FA5-984C-03E737B00EF1}">
      <formula1>1</formula1>
    </dataValidation>
  </dataValidations>
  <pageMargins left="0.25" right="0.25" top="0.75" bottom="0.75" header="0.3" footer="0.3"/>
  <pageSetup paperSize="119" scale="27" fitToHeight="0" orientation="landscape" r:id="rId1"/>
  <legacy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58DF5-4A53-4078-96E3-1E1752E50D71}">
  <sheetPr codeName="Sheet15">
    <tabColor rgb="FF0070C0"/>
  </sheetPr>
  <dimension ref="A3:M11"/>
  <sheetViews>
    <sheetView workbookViewId="0">
      <selection activeCell="I13" sqref="I13"/>
    </sheetView>
  </sheetViews>
  <sheetFormatPr defaultRowHeight="13.2"/>
  <cols>
    <col min="1" max="1" width="18" style="52" bestFit="1" customWidth="1"/>
    <col min="2" max="2" width="15.33203125" style="52" bestFit="1" customWidth="1"/>
    <col min="3" max="3" width="30.6640625" style="52" bestFit="1" customWidth="1"/>
    <col min="4" max="4" width="9.88671875" style="52" bestFit="1" customWidth="1"/>
    <col min="5" max="6" width="11.33203125" style="52" bestFit="1" customWidth="1"/>
    <col min="7" max="7" width="40.88671875" style="52" bestFit="1" customWidth="1"/>
    <col min="8" max="9" width="29.44140625" style="52" bestFit="1" customWidth="1"/>
    <col min="10" max="10" width="29.5546875" style="52" bestFit="1" customWidth="1"/>
    <col min="11" max="13" width="9.109375" style="52"/>
  </cols>
  <sheetData>
    <row r="3" spans="1:10">
      <c r="A3" s="51" t="s">
        <v>730</v>
      </c>
      <c r="B3" s="51" t="s">
        <v>731</v>
      </c>
      <c r="C3" s="51" t="s">
        <v>740</v>
      </c>
      <c r="D3" s="51" t="s">
        <v>1</v>
      </c>
      <c r="E3" s="51" t="s">
        <v>150</v>
      </c>
      <c r="F3" s="51" t="s">
        <v>152</v>
      </c>
      <c r="G3" s="51" t="s">
        <v>741</v>
      </c>
      <c r="H3" s="51" t="s">
        <v>734</v>
      </c>
      <c r="I3" s="51" t="s">
        <v>733</v>
      </c>
      <c r="J3" s="51" t="s">
        <v>732</v>
      </c>
    </row>
    <row r="4" spans="1:10" ht="13.8">
      <c r="A4" s="303"/>
      <c r="B4" s="302"/>
      <c r="C4" s="302"/>
      <c r="D4" s="302"/>
      <c r="E4" s="302">
        <f>INPUT_OUTPUTS!$C$14</f>
        <v>42</v>
      </c>
      <c r="F4" s="302">
        <f>INPUT_OUTPUTS!$C$15</f>
        <v>56</v>
      </c>
      <c r="G4" s="302">
        <f>Table25[[#This Row],[CHILLER CAPACITY (TONS)]]*1.25*12000</f>
        <v>0</v>
      </c>
      <c r="H4" s="302"/>
      <c r="I4" s="302"/>
      <c r="J4" s="302"/>
    </row>
    <row r="5" spans="1:10" ht="21" customHeight="1"/>
    <row r="10" spans="1:10">
      <c r="A10" s="51" t="s">
        <v>735</v>
      </c>
      <c r="B10" s="51" t="s">
        <v>731</v>
      </c>
      <c r="C10" s="51" t="s">
        <v>739</v>
      </c>
      <c r="D10" s="51" t="s">
        <v>1</v>
      </c>
      <c r="E10" s="51" t="s">
        <v>153</v>
      </c>
      <c r="F10" s="51" t="s">
        <v>154</v>
      </c>
      <c r="G10" s="51" t="s">
        <v>736</v>
      </c>
      <c r="H10" s="51" t="s">
        <v>737</v>
      </c>
      <c r="I10" s="51" t="s">
        <v>738</v>
      </c>
    </row>
    <row r="11" spans="1:10" ht="13.8">
      <c r="A11" s="303"/>
      <c r="B11" s="302"/>
      <c r="C11" s="302"/>
      <c r="D11" s="302"/>
      <c r="E11" s="302">
        <f>INPUT_OUTPUTS!$C$16</f>
        <v>140</v>
      </c>
      <c r="F11" s="302">
        <f>INPUT_OUTPUTS!$C$17</f>
        <v>110</v>
      </c>
      <c r="G11" s="302"/>
      <c r="H11" s="302"/>
      <c r="I11" s="302"/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FF07B-C762-48BB-980B-AC18ECA888C5}">
  <sheetPr codeName="Sheet6">
    <pageSetUpPr fitToPage="1"/>
  </sheetPr>
  <dimension ref="B3:M23"/>
  <sheetViews>
    <sheetView workbookViewId="0">
      <selection activeCell="G4" sqref="G4"/>
    </sheetView>
  </sheetViews>
  <sheetFormatPr defaultColWidth="9.109375" defaultRowHeight="13.2"/>
  <cols>
    <col min="1" max="1" width="9.109375" style="86"/>
    <col min="2" max="2" width="17" style="86" bestFit="1" customWidth="1"/>
    <col min="3" max="3" width="17.88671875" style="86" customWidth="1"/>
    <col min="4" max="4" width="13.5546875" style="86" customWidth="1"/>
    <col min="5" max="5" width="12.44140625" style="86" bestFit="1" customWidth="1"/>
    <col min="6" max="7" width="16.5546875" style="86" bestFit="1" customWidth="1"/>
    <col min="8" max="8" width="20.109375" style="86" bestFit="1" customWidth="1"/>
    <col min="9" max="9" width="16.5546875" style="86" customWidth="1"/>
    <col min="10" max="12" width="16.5546875" style="86" hidden="1" customWidth="1"/>
    <col min="13" max="13" width="12.5546875" style="86" customWidth="1"/>
    <col min="14" max="16384" width="9.109375" style="86"/>
  </cols>
  <sheetData>
    <row r="3" spans="2:13" ht="26.4">
      <c r="B3" s="287" t="s">
        <v>713</v>
      </c>
      <c r="C3" s="285" t="s">
        <v>712</v>
      </c>
      <c r="D3" s="285" t="s">
        <v>711</v>
      </c>
      <c r="E3" s="285" t="s">
        <v>710</v>
      </c>
      <c r="F3" s="286" t="s">
        <v>709</v>
      </c>
      <c r="G3" s="285" t="s">
        <v>720</v>
      </c>
      <c r="H3" s="285" t="s">
        <v>721</v>
      </c>
      <c r="I3" s="285" t="s">
        <v>708</v>
      </c>
      <c r="J3" s="285" t="s">
        <v>707</v>
      </c>
    </row>
    <row r="4" spans="2:13" ht="13.8">
      <c r="B4" s="277" t="s">
        <v>706</v>
      </c>
      <c r="C4" s="277" t="s">
        <v>705</v>
      </c>
      <c r="D4" s="278">
        <v>101</v>
      </c>
      <c r="E4" s="277">
        <v>500</v>
      </c>
      <c r="F4" s="277">
        <v>10</v>
      </c>
      <c r="G4" s="277">
        <v>3500</v>
      </c>
      <c r="H4" s="288"/>
      <c r="I4" s="284">
        <f>(Heat_Generating_Equipment[[#Totals],[Total 
BTUs]]*0.29307107)/Table16[[#This Row],[Area
(ft2)]]</f>
        <v>104.4007072661</v>
      </c>
      <c r="J4" s="283">
        <f>Table16[[#This Row],[Envelope Load 
(BTU/HR)]]+Heat_Generating_Equipment[[#Totals],[Total 
BTUs]]</f>
        <v>181615</v>
      </c>
    </row>
    <row r="6" spans="2:13" ht="22.8">
      <c r="B6" s="361" t="s">
        <v>704</v>
      </c>
      <c r="C6" s="361"/>
      <c r="D6" s="361"/>
      <c r="E6" s="361"/>
      <c r="F6" s="361"/>
      <c r="G6" s="361"/>
      <c r="H6" s="361"/>
      <c r="I6" s="361"/>
      <c r="J6" s="361"/>
      <c r="K6" s="361"/>
      <c r="L6" s="361"/>
      <c r="M6" s="361"/>
    </row>
    <row r="7" spans="2:13">
      <c r="B7" s="282"/>
      <c r="C7" s="362" t="s">
        <v>703</v>
      </c>
      <c r="D7" s="362"/>
      <c r="E7" s="362" t="s">
        <v>689</v>
      </c>
      <c r="F7" s="362"/>
      <c r="G7" s="362" t="s">
        <v>702</v>
      </c>
      <c r="H7" s="362"/>
      <c r="I7" s="362"/>
      <c r="J7" s="282"/>
      <c r="K7" s="282"/>
      <c r="L7" s="282"/>
      <c r="M7" s="282"/>
    </row>
    <row r="8" spans="2:13" ht="39.6">
      <c r="B8" s="273" t="s">
        <v>701</v>
      </c>
      <c r="C8" s="281" t="s">
        <v>700</v>
      </c>
      <c r="D8" s="281" t="s">
        <v>699</v>
      </c>
      <c r="E8" s="281" t="s">
        <v>698</v>
      </c>
      <c r="F8" s="281" t="s">
        <v>697</v>
      </c>
      <c r="G8" s="281" t="s">
        <v>696</v>
      </c>
      <c r="H8" s="281" t="s">
        <v>695</v>
      </c>
      <c r="I8" s="281" t="s">
        <v>694</v>
      </c>
      <c r="J8" s="281" t="s">
        <v>693</v>
      </c>
      <c r="K8" s="281" t="s">
        <v>692</v>
      </c>
      <c r="L8" s="281" t="s">
        <v>691</v>
      </c>
      <c r="M8" s="281" t="s">
        <v>690</v>
      </c>
    </row>
    <row r="9" spans="2:13" ht="13.8">
      <c r="B9" s="277" t="s">
        <v>689</v>
      </c>
      <c r="C9" s="278">
        <v>0</v>
      </c>
      <c r="D9" s="277">
        <v>0</v>
      </c>
      <c r="E9" s="277">
        <v>145</v>
      </c>
      <c r="F9" s="280">
        <v>0.98</v>
      </c>
      <c r="G9" s="277">
        <v>0</v>
      </c>
      <c r="H9" s="278">
        <v>0</v>
      </c>
      <c r="I9" s="277">
        <v>0</v>
      </c>
      <c r="J9" s="275">
        <f t="shared" ref="J9:J22" si="0">E9*(1-F9)*3412.14</f>
        <v>9895.2060000000092</v>
      </c>
      <c r="K9" s="276">
        <f t="shared" ref="K9:K22" si="1">D9*3.41</f>
        <v>0</v>
      </c>
      <c r="L9" s="275">
        <f>Heat_Generating_Equipment[[#This Row],[Server Load 
(Watts)]]*Heat_Generating_Equipment[[#This Row],[Server Diversity]]*3.41*Heat_Generating_Equipment[[#This Row],[Number of Servers]]</f>
        <v>0</v>
      </c>
      <c r="M9" s="274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9895</v>
      </c>
    </row>
    <row r="10" spans="2:13" ht="13.8">
      <c r="B10" s="277" t="s">
        <v>688</v>
      </c>
      <c r="C10" s="277">
        <v>25000</v>
      </c>
      <c r="D10" s="277">
        <v>0</v>
      </c>
      <c r="E10" s="277">
        <v>0</v>
      </c>
      <c r="F10" s="279">
        <v>0</v>
      </c>
      <c r="G10" s="277">
        <v>0</v>
      </c>
      <c r="H10" s="278">
        <v>0</v>
      </c>
      <c r="I10" s="277">
        <v>0</v>
      </c>
      <c r="J10" s="275">
        <f t="shared" si="0"/>
        <v>0</v>
      </c>
      <c r="K10" s="276">
        <f t="shared" si="1"/>
        <v>0</v>
      </c>
      <c r="L10" s="275">
        <f>Heat_Generating_Equipment[[#This Row],[Server Load 
(Watts)]]*Heat_Generating_Equipment[[#This Row],[Server Diversity]]*3.41*Heat_Generating_Equipment[[#This Row],[Number of Servers]]</f>
        <v>0</v>
      </c>
      <c r="M10" s="274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25000</v>
      </c>
    </row>
    <row r="11" spans="2:13" ht="13.8">
      <c r="B11" s="277" t="s">
        <v>687</v>
      </c>
      <c r="C11" s="277">
        <v>0</v>
      </c>
      <c r="D11" s="277">
        <v>0</v>
      </c>
      <c r="E11" s="277">
        <v>0</v>
      </c>
      <c r="F11" s="279">
        <v>0</v>
      </c>
      <c r="G11" s="277">
        <v>12000</v>
      </c>
      <c r="H11" s="278">
        <v>5</v>
      </c>
      <c r="I11" s="277">
        <v>0.7</v>
      </c>
      <c r="J11" s="275">
        <f t="shared" si="0"/>
        <v>0</v>
      </c>
      <c r="K11" s="276">
        <f t="shared" si="1"/>
        <v>0</v>
      </c>
      <c r="L11" s="275">
        <f>Heat_Generating_Equipment[[#This Row],[Server Load 
(Watts)]]*Heat_Generating_Equipment[[#This Row],[Server Diversity]]*3.41*Heat_Generating_Equipment[[#This Row],[Number of Servers]]</f>
        <v>143220</v>
      </c>
      <c r="M11" s="274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143220</v>
      </c>
    </row>
    <row r="12" spans="2:13" ht="13.8">
      <c r="B12" s="277"/>
      <c r="C12" s="277"/>
      <c r="D12" s="277"/>
      <c r="E12" s="277"/>
      <c r="F12" s="279"/>
      <c r="G12" s="277"/>
      <c r="H12" s="278"/>
      <c r="I12" s="277"/>
      <c r="J12" s="275">
        <f t="shared" si="0"/>
        <v>0</v>
      </c>
      <c r="K12" s="276">
        <f t="shared" si="1"/>
        <v>0</v>
      </c>
      <c r="L12" s="275">
        <f>Heat_Generating_Equipment[[#This Row],[Server Load 
(Watts)]]*Heat_Generating_Equipment[[#This Row],[Server Diversity]]*3.41*Heat_Generating_Equipment[[#This Row],[Number of Servers]]</f>
        <v>0</v>
      </c>
      <c r="M12" s="274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13" spans="2:13" ht="13.8">
      <c r="B13" s="277"/>
      <c r="C13" s="277"/>
      <c r="D13" s="277"/>
      <c r="E13" s="277"/>
      <c r="F13" s="279"/>
      <c r="G13" s="277"/>
      <c r="H13" s="278"/>
      <c r="I13" s="277"/>
      <c r="J13" s="275">
        <f t="shared" si="0"/>
        <v>0</v>
      </c>
      <c r="K13" s="276">
        <f t="shared" si="1"/>
        <v>0</v>
      </c>
      <c r="L13" s="275">
        <f>Heat_Generating_Equipment[[#This Row],[Server Load 
(Watts)]]*Heat_Generating_Equipment[[#This Row],[Server Diversity]]*3.41*Heat_Generating_Equipment[[#This Row],[Number of Servers]]</f>
        <v>0</v>
      </c>
      <c r="M13" s="274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14" spans="2:13" ht="13.8">
      <c r="B14" s="277"/>
      <c r="C14" s="277"/>
      <c r="D14" s="277"/>
      <c r="E14" s="277"/>
      <c r="F14" s="279"/>
      <c r="G14" s="277"/>
      <c r="H14" s="278"/>
      <c r="I14" s="277"/>
      <c r="J14" s="275">
        <f t="shared" si="0"/>
        <v>0</v>
      </c>
      <c r="K14" s="276">
        <f t="shared" si="1"/>
        <v>0</v>
      </c>
      <c r="L14" s="275">
        <f>Heat_Generating_Equipment[[#This Row],[Server Load 
(Watts)]]*Heat_Generating_Equipment[[#This Row],[Server Diversity]]*3.41*Heat_Generating_Equipment[[#This Row],[Number of Servers]]</f>
        <v>0</v>
      </c>
      <c r="M14" s="274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15" spans="2:13" ht="13.8">
      <c r="B15" s="277"/>
      <c r="C15" s="277"/>
      <c r="D15" s="277"/>
      <c r="E15" s="277"/>
      <c r="F15" s="279"/>
      <c r="G15" s="277"/>
      <c r="H15" s="278"/>
      <c r="I15" s="277"/>
      <c r="J15" s="275">
        <f t="shared" si="0"/>
        <v>0</v>
      </c>
      <c r="K15" s="276">
        <f t="shared" si="1"/>
        <v>0</v>
      </c>
      <c r="L15" s="275">
        <f>Heat_Generating_Equipment[[#This Row],[Server Load 
(Watts)]]*Heat_Generating_Equipment[[#This Row],[Server Diversity]]*3.41*Heat_Generating_Equipment[[#This Row],[Number of Servers]]</f>
        <v>0</v>
      </c>
      <c r="M15" s="274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16" spans="2:13" ht="13.8">
      <c r="B16" s="277"/>
      <c r="C16" s="277"/>
      <c r="D16" s="277"/>
      <c r="E16" s="277"/>
      <c r="F16" s="279"/>
      <c r="G16" s="277"/>
      <c r="H16" s="278"/>
      <c r="I16" s="277"/>
      <c r="J16" s="275">
        <f t="shared" si="0"/>
        <v>0</v>
      </c>
      <c r="K16" s="276">
        <f t="shared" si="1"/>
        <v>0</v>
      </c>
      <c r="L16" s="275">
        <f>Heat_Generating_Equipment[[#This Row],[Server Load 
(Watts)]]*Heat_Generating_Equipment[[#This Row],[Server Diversity]]*3.41*Heat_Generating_Equipment[[#This Row],[Number of Servers]]</f>
        <v>0</v>
      </c>
      <c r="M16" s="274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17" spans="2:13" ht="13.8">
      <c r="B17" s="277"/>
      <c r="C17" s="277"/>
      <c r="D17" s="277"/>
      <c r="E17" s="277"/>
      <c r="F17" s="279"/>
      <c r="G17" s="277"/>
      <c r="H17" s="278"/>
      <c r="I17" s="277"/>
      <c r="J17" s="275">
        <f t="shared" si="0"/>
        <v>0</v>
      </c>
      <c r="K17" s="276">
        <f t="shared" si="1"/>
        <v>0</v>
      </c>
      <c r="L17" s="275">
        <f>Heat_Generating_Equipment[[#This Row],[Server Load 
(Watts)]]*Heat_Generating_Equipment[[#This Row],[Server Diversity]]*3.41*Heat_Generating_Equipment[[#This Row],[Number of Servers]]</f>
        <v>0</v>
      </c>
      <c r="M17" s="274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18" spans="2:13" ht="13.8">
      <c r="B18" s="277"/>
      <c r="C18" s="277"/>
      <c r="D18" s="277"/>
      <c r="E18" s="277"/>
      <c r="F18" s="279"/>
      <c r="G18" s="277"/>
      <c r="H18" s="278"/>
      <c r="I18" s="277"/>
      <c r="J18" s="275">
        <f t="shared" si="0"/>
        <v>0</v>
      </c>
      <c r="K18" s="276">
        <f t="shared" si="1"/>
        <v>0</v>
      </c>
      <c r="L18" s="275">
        <f>Heat_Generating_Equipment[[#This Row],[Server Load 
(Watts)]]*Heat_Generating_Equipment[[#This Row],[Server Diversity]]*3.41*Heat_Generating_Equipment[[#This Row],[Number of Servers]]</f>
        <v>0</v>
      </c>
      <c r="M18" s="274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19" spans="2:13" ht="13.8">
      <c r="B19" s="277"/>
      <c r="C19" s="277"/>
      <c r="D19" s="277"/>
      <c r="E19" s="277"/>
      <c r="F19" s="279"/>
      <c r="G19" s="277"/>
      <c r="H19" s="278"/>
      <c r="I19" s="277"/>
      <c r="J19" s="275">
        <f t="shared" si="0"/>
        <v>0</v>
      </c>
      <c r="K19" s="276">
        <f t="shared" si="1"/>
        <v>0</v>
      </c>
      <c r="L19" s="275">
        <f>Heat_Generating_Equipment[[#This Row],[Server Load 
(Watts)]]*Heat_Generating_Equipment[[#This Row],[Server Diversity]]*3.41*Heat_Generating_Equipment[[#This Row],[Number of Servers]]</f>
        <v>0</v>
      </c>
      <c r="M19" s="274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20" spans="2:13" ht="13.8">
      <c r="B20" s="277"/>
      <c r="C20" s="277"/>
      <c r="D20" s="277"/>
      <c r="E20" s="277"/>
      <c r="F20" s="279"/>
      <c r="G20" s="277"/>
      <c r="H20" s="278"/>
      <c r="I20" s="277"/>
      <c r="J20" s="275">
        <f t="shared" si="0"/>
        <v>0</v>
      </c>
      <c r="K20" s="276">
        <f t="shared" si="1"/>
        <v>0</v>
      </c>
      <c r="L20" s="275">
        <f>Heat_Generating_Equipment[[#This Row],[Server Load 
(Watts)]]*Heat_Generating_Equipment[[#This Row],[Server Diversity]]*3.41*Heat_Generating_Equipment[[#This Row],[Number of Servers]]</f>
        <v>0</v>
      </c>
      <c r="M20" s="274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21" spans="2:13" ht="13.8">
      <c r="B21" s="277"/>
      <c r="C21" s="277"/>
      <c r="D21" s="277"/>
      <c r="E21" s="277"/>
      <c r="F21" s="279"/>
      <c r="G21" s="277"/>
      <c r="H21" s="278"/>
      <c r="I21" s="277"/>
      <c r="J21" s="275">
        <f t="shared" si="0"/>
        <v>0</v>
      </c>
      <c r="K21" s="276">
        <f t="shared" si="1"/>
        <v>0</v>
      </c>
      <c r="L21" s="275">
        <f>Heat_Generating_Equipment[[#This Row],[Server Load 
(Watts)]]*Heat_Generating_Equipment[[#This Row],[Server Diversity]]*3.41*Heat_Generating_Equipment[[#This Row],[Number of Servers]]</f>
        <v>0</v>
      </c>
      <c r="M21" s="274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22" spans="2:13" ht="13.8">
      <c r="B22" s="277"/>
      <c r="C22" s="277"/>
      <c r="D22" s="277"/>
      <c r="E22" s="277"/>
      <c r="F22" s="279"/>
      <c r="G22" s="277"/>
      <c r="H22" s="278"/>
      <c r="I22" s="277"/>
      <c r="J22" s="275">
        <f t="shared" si="0"/>
        <v>0</v>
      </c>
      <c r="K22" s="276">
        <f t="shared" si="1"/>
        <v>0</v>
      </c>
      <c r="L22" s="275">
        <f>Heat_Generating_Equipment[[#This Row],[Server Load 
(Watts)]]*Heat_Generating_Equipment[[#This Row],[Server Diversity]]*3.41*Heat_Generating_Equipment[[#This Row],[Number of Servers]]</f>
        <v>0</v>
      </c>
      <c r="M22" s="274">
        <f>MROUND(SUM(Heat_Generating_Equipment[[#This Row],[General Equipment 
(BTU/HR)]],Heat_Generating_Equipment[[#This Row],[Watts 
to BTUs]],Heat_Generating_Equipment[[#This Row],[Transformer 
BTUs]],Heat_Generating_Equipment[[#This Row],[Server Load 
(BTUs)]]),5)</f>
        <v>0</v>
      </c>
    </row>
    <row r="23" spans="2:13" ht="15.6">
      <c r="B23" s="272" t="s">
        <v>686</v>
      </c>
      <c r="C23" s="273"/>
      <c r="D23" s="273"/>
      <c r="E23" s="273"/>
      <c r="F23" s="273"/>
      <c r="G23" s="273"/>
      <c r="H23" s="273"/>
      <c r="I23" s="273"/>
      <c r="J23" s="273"/>
      <c r="K23" s="273"/>
      <c r="L23" s="273"/>
      <c r="M23" s="272">
        <f>SUBTOTAL(109,Heat_Generating_Equipment[Total 
BTUs])</f>
        <v>178115</v>
      </c>
    </row>
  </sheetData>
  <mergeCells count="4">
    <mergeCell ref="B6:M6"/>
    <mergeCell ref="E7:F7"/>
    <mergeCell ref="C7:D7"/>
    <mergeCell ref="G7:I7"/>
  </mergeCells>
  <pageMargins left="0.7" right="0.7" top="0.75" bottom="0.75" header="0.3" footer="0.3"/>
  <pageSetup scale="82" orientation="landscape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01E0D-981E-493D-8622-CA9DFB18E1D4}">
  <sheetPr codeName="Sheet9">
    <pageSetUpPr fitToPage="1"/>
  </sheetPr>
  <dimension ref="A1:AB93"/>
  <sheetViews>
    <sheetView topLeftCell="J1" zoomScale="85" zoomScaleNormal="85" workbookViewId="0">
      <selection activeCell="U24" sqref="U24"/>
    </sheetView>
  </sheetViews>
  <sheetFormatPr defaultRowHeight="13.2"/>
  <cols>
    <col min="1" max="1" width="76.109375" customWidth="1"/>
    <col min="2" max="2" width="6.109375" bestFit="1" customWidth="1"/>
    <col min="3" max="3" width="6.44140625" bestFit="1" customWidth="1"/>
    <col min="4" max="4" width="22.33203125" bestFit="1" customWidth="1"/>
    <col min="5" max="5" width="13.5546875" bestFit="1" customWidth="1"/>
    <col min="6" max="6" width="9" bestFit="1" customWidth="1"/>
    <col min="7" max="7" width="9" customWidth="1"/>
    <col min="8" max="8" width="9" style="71" bestFit="1" customWidth="1"/>
    <col min="10" max="10" width="77.44140625" customWidth="1"/>
    <col min="11" max="11" width="27" bestFit="1" customWidth="1"/>
    <col min="12" max="12" width="27.88671875" bestFit="1" customWidth="1"/>
    <col min="13" max="13" width="9.6640625" bestFit="1" customWidth="1"/>
    <col min="14" max="14" width="14.109375" bestFit="1" customWidth="1"/>
    <col min="15" max="16" width="13.44140625" customWidth="1"/>
    <col min="17" max="17" width="12.88671875" bestFit="1" customWidth="1"/>
    <col min="20" max="20" width="15.5546875" customWidth="1"/>
    <col min="24" max="24" width="15.5546875" customWidth="1"/>
    <col min="28" max="28" width="8.88671875" bestFit="1" customWidth="1"/>
  </cols>
  <sheetData>
    <row r="1" spans="1:28">
      <c r="A1" s="11" t="s">
        <v>87</v>
      </c>
      <c r="B1" s="11" t="s">
        <v>269</v>
      </c>
      <c r="C1" s="11" t="s">
        <v>0</v>
      </c>
      <c r="D1" s="11" t="s">
        <v>270</v>
      </c>
      <c r="E1" s="11" t="s">
        <v>271</v>
      </c>
      <c r="F1" s="73" t="s">
        <v>36</v>
      </c>
      <c r="G1" s="73" t="s">
        <v>272</v>
      </c>
      <c r="H1"/>
      <c r="J1" s="11" t="s">
        <v>87</v>
      </c>
      <c r="K1" s="11" t="s">
        <v>273</v>
      </c>
      <c r="L1" s="11" t="s">
        <v>274</v>
      </c>
      <c r="M1" s="11" t="s">
        <v>275</v>
      </c>
      <c r="N1" s="11" t="s">
        <v>276</v>
      </c>
      <c r="O1" s="11"/>
      <c r="P1" s="11"/>
      <c r="Q1" s="11"/>
    </row>
    <row r="2" spans="1:28">
      <c r="A2" s="85" t="s">
        <v>277</v>
      </c>
      <c r="B2" s="72">
        <v>10</v>
      </c>
      <c r="C2" s="72">
        <v>0.12</v>
      </c>
      <c r="D2" s="72">
        <v>20</v>
      </c>
      <c r="E2" s="72">
        <v>2</v>
      </c>
      <c r="F2" s="72" t="s">
        <v>49</v>
      </c>
      <c r="G2" s="72" t="s">
        <v>49</v>
      </c>
      <c r="H2"/>
      <c r="J2" s="86" t="s">
        <v>278</v>
      </c>
      <c r="K2" s="75">
        <v>0</v>
      </c>
      <c r="L2" s="72">
        <v>0.9</v>
      </c>
      <c r="M2" s="72"/>
      <c r="N2" s="72">
        <v>3</v>
      </c>
      <c r="Q2" s="11" t="s">
        <v>279</v>
      </c>
      <c r="T2" s="11" t="s">
        <v>280</v>
      </c>
      <c r="U2" t="s">
        <v>727</v>
      </c>
      <c r="V2" t="s">
        <v>728</v>
      </c>
      <c r="W2" t="s">
        <v>729</v>
      </c>
      <c r="Y2" s="11" t="s">
        <v>280</v>
      </c>
      <c r="Z2" t="s">
        <v>727</v>
      </c>
      <c r="AA2" t="s">
        <v>728</v>
      </c>
      <c r="AB2" t="s">
        <v>729</v>
      </c>
    </row>
    <row r="3" spans="1:28">
      <c r="A3" s="85" t="s">
        <v>278</v>
      </c>
      <c r="B3" s="72">
        <v>10</v>
      </c>
      <c r="C3" s="72">
        <v>0.18</v>
      </c>
      <c r="D3" s="72">
        <v>20</v>
      </c>
      <c r="E3" s="72">
        <v>3</v>
      </c>
      <c r="F3" s="72" t="s">
        <v>49</v>
      </c>
      <c r="G3" s="72" t="s">
        <v>49</v>
      </c>
      <c r="H3"/>
      <c r="J3" s="86" t="s">
        <v>281</v>
      </c>
      <c r="K3" s="72">
        <v>0</v>
      </c>
      <c r="L3" s="72">
        <v>3</v>
      </c>
      <c r="M3" s="72"/>
      <c r="N3" s="72">
        <v>3</v>
      </c>
      <c r="Q3">
        <v>1</v>
      </c>
      <c r="T3" s="312">
        <v>7</v>
      </c>
      <c r="U3">
        <v>400</v>
      </c>
      <c r="V3">
        <v>200</v>
      </c>
      <c r="W3">
        <v>150</v>
      </c>
      <c r="Y3" s="312">
        <v>7</v>
      </c>
      <c r="Z3">
        <v>800</v>
      </c>
      <c r="AA3">
        <v>400</v>
      </c>
      <c r="AB3">
        <v>250</v>
      </c>
    </row>
    <row r="4" spans="1:28">
      <c r="A4" s="85" t="s">
        <v>281</v>
      </c>
      <c r="B4" s="72">
        <v>10</v>
      </c>
      <c r="C4" s="72">
        <v>0.18</v>
      </c>
      <c r="D4" s="72">
        <v>20</v>
      </c>
      <c r="E4" s="72">
        <v>3</v>
      </c>
      <c r="F4" s="72" t="s">
        <v>49</v>
      </c>
      <c r="G4" s="72" t="s">
        <v>49</v>
      </c>
      <c r="H4"/>
      <c r="J4" s="86" t="s">
        <v>282</v>
      </c>
      <c r="K4" s="72">
        <v>0</v>
      </c>
      <c r="L4" s="72">
        <v>1.5</v>
      </c>
      <c r="M4" s="72"/>
      <c r="N4" s="72">
        <v>3</v>
      </c>
      <c r="Q4">
        <v>0.8</v>
      </c>
      <c r="T4" s="312">
        <v>8</v>
      </c>
      <c r="U4">
        <v>400</v>
      </c>
      <c r="V4">
        <v>200</v>
      </c>
      <c r="W4">
        <v>150</v>
      </c>
      <c r="Y4" s="312">
        <v>8</v>
      </c>
      <c r="Z4">
        <v>800</v>
      </c>
      <c r="AA4">
        <v>400</v>
      </c>
      <c r="AB4">
        <v>250</v>
      </c>
    </row>
    <row r="5" spans="1:28">
      <c r="A5" s="85" t="s">
        <v>282</v>
      </c>
      <c r="B5" s="72">
        <v>10</v>
      </c>
      <c r="C5" s="72">
        <v>0.18</v>
      </c>
      <c r="D5" s="72">
        <v>20</v>
      </c>
      <c r="E5" s="72">
        <v>3</v>
      </c>
      <c r="F5" s="72" t="s">
        <v>49</v>
      </c>
      <c r="G5" s="72" t="s">
        <v>49</v>
      </c>
      <c r="H5"/>
      <c r="J5" s="86" t="s">
        <v>268</v>
      </c>
      <c r="K5" s="72">
        <v>0</v>
      </c>
      <c r="L5" s="72">
        <v>1.5</v>
      </c>
      <c r="M5" s="72"/>
      <c r="N5" s="72">
        <v>3</v>
      </c>
      <c r="Q5">
        <v>0.7</v>
      </c>
      <c r="T5" s="313" t="s">
        <v>289</v>
      </c>
      <c r="U5">
        <v>800</v>
      </c>
      <c r="V5">
        <v>400</v>
      </c>
      <c r="W5">
        <v>250</v>
      </c>
      <c r="Y5" s="313" t="s">
        <v>283</v>
      </c>
      <c r="Z5">
        <v>1400</v>
      </c>
      <c r="AA5">
        <v>900</v>
      </c>
      <c r="AB5">
        <v>400</v>
      </c>
    </row>
    <row r="6" spans="1:28">
      <c r="A6" s="85" t="s">
        <v>268</v>
      </c>
      <c r="B6" s="72">
        <v>10</v>
      </c>
      <c r="C6" s="72">
        <v>0.18</v>
      </c>
      <c r="D6" s="72">
        <v>20</v>
      </c>
      <c r="E6" s="72">
        <v>3</v>
      </c>
      <c r="F6" s="72" t="s">
        <v>49</v>
      </c>
      <c r="G6" s="72" t="s">
        <v>49</v>
      </c>
      <c r="H6"/>
      <c r="J6" s="86" t="s">
        <v>284</v>
      </c>
      <c r="K6" s="72">
        <v>0</v>
      </c>
      <c r="L6" s="72">
        <v>2.25</v>
      </c>
      <c r="M6" s="72"/>
      <c r="N6" s="72">
        <v>3</v>
      </c>
      <c r="Q6">
        <v>0.5</v>
      </c>
      <c r="T6" s="313" t="s">
        <v>291</v>
      </c>
      <c r="U6">
        <v>800</v>
      </c>
      <c r="V6">
        <v>400</v>
      </c>
      <c r="W6">
        <v>250</v>
      </c>
      <c r="Y6" s="313" t="s">
        <v>285</v>
      </c>
      <c r="Z6">
        <v>1400</v>
      </c>
      <c r="AA6">
        <v>900</v>
      </c>
      <c r="AB6">
        <v>400</v>
      </c>
    </row>
    <row r="7" spans="1:28">
      <c r="A7" s="85" t="s">
        <v>284</v>
      </c>
      <c r="B7" s="72">
        <v>10</v>
      </c>
      <c r="C7" s="72">
        <v>0.18</v>
      </c>
      <c r="D7" s="72">
        <v>20</v>
      </c>
      <c r="E7" s="72">
        <v>3</v>
      </c>
      <c r="F7" s="72" t="s">
        <v>49</v>
      </c>
      <c r="G7" s="72" t="s">
        <v>49</v>
      </c>
      <c r="H7"/>
      <c r="J7" s="86" t="s">
        <v>286</v>
      </c>
      <c r="K7" s="72">
        <v>0</v>
      </c>
      <c r="L7" s="72">
        <v>1.5</v>
      </c>
      <c r="M7" s="72"/>
      <c r="N7" s="72">
        <v>3</v>
      </c>
      <c r="Q7">
        <v>1.05</v>
      </c>
      <c r="T7" s="313" t="s">
        <v>322</v>
      </c>
      <c r="U7">
        <v>2400</v>
      </c>
      <c r="V7">
        <v>1100</v>
      </c>
      <c r="W7">
        <v>600</v>
      </c>
      <c r="Y7" s="313" t="s">
        <v>287</v>
      </c>
      <c r="Z7">
        <v>1400</v>
      </c>
      <c r="AA7">
        <v>900</v>
      </c>
      <c r="AB7">
        <v>400</v>
      </c>
    </row>
    <row r="8" spans="1:28">
      <c r="A8" s="85" t="s">
        <v>286</v>
      </c>
      <c r="B8" s="72">
        <v>10</v>
      </c>
      <c r="C8" s="72">
        <v>0.18</v>
      </c>
      <c r="D8" s="72">
        <v>20</v>
      </c>
      <c r="E8" s="72">
        <v>3</v>
      </c>
      <c r="F8" s="72" t="s">
        <v>49</v>
      </c>
      <c r="G8" s="72" t="s">
        <v>49</v>
      </c>
      <c r="H8"/>
      <c r="J8" s="86" t="s">
        <v>288</v>
      </c>
      <c r="K8" s="72">
        <v>0</v>
      </c>
      <c r="L8" s="72">
        <v>2.25</v>
      </c>
      <c r="M8" s="72"/>
      <c r="N8" s="72">
        <v>3</v>
      </c>
      <c r="Q8">
        <v>1.2</v>
      </c>
      <c r="T8" s="313" t="s">
        <v>293</v>
      </c>
      <c r="U8">
        <v>800</v>
      </c>
      <c r="V8">
        <v>400</v>
      </c>
      <c r="W8">
        <v>250</v>
      </c>
      <c r="Y8" s="313" t="s">
        <v>289</v>
      </c>
      <c r="Z8">
        <v>2000</v>
      </c>
      <c r="AA8">
        <v>1000</v>
      </c>
      <c r="AB8">
        <v>500</v>
      </c>
    </row>
    <row r="9" spans="1:28">
      <c r="A9" s="85" t="s">
        <v>290</v>
      </c>
      <c r="B9" s="72">
        <v>10</v>
      </c>
      <c r="C9" s="72">
        <v>0.18</v>
      </c>
      <c r="D9" s="72">
        <v>20</v>
      </c>
      <c r="E9" s="72">
        <v>3</v>
      </c>
      <c r="F9" s="72" t="s">
        <v>49</v>
      </c>
      <c r="G9" s="72" t="s">
        <v>49</v>
      </c>
      <c r="H9"/>
      <c r="J9" s="86" t="s">
        <v>105</v>
      </c>
      <c r="K9" s="72">
        <v>0</v>
      </c>
      <c r="L9" s="72">
        <v>2.25</v>
      </c>
      <c r="M9" s="72"/>
      <c r="N9" s="72">
        <v>3</v>
      </c>
      <c r="Q9">
        <v>1.5</v>
      </c>
      <c r="T9" s="313" t="s">
        <v>308</v>
      </c>
      <c r="U9">
        <v>1100</v>
      </c>
      <c r="V9">
        <v>600</v>
      </c>
      <c r="W9">
        <v>300</v>
      </c>
      <c r="Y9" s="313" t="s">
        <v>291</v>
      </c>
      <c r="Z9">
        <v>2000</v>
      </c>
      <c r="AA9">
        <v>1000</v>
      </c>
      <c r="AB9">
        <v>500</v>
      </c>
    </row>
    <row r="10" spans="1:28">
      <c r="A10" s="85" t="s">
        <v>105</v>
      </c>
      <c r="B10" s="72">
        <v>10</v>
      </c>
      <c r="C10" s="72">
        <v>0.18</v>
      </c>
      <c r="D10" s="72">
        <v>20</v>
      </c>
      <c r="E10" s="72">
        <v>3</v>
      </c>
      <c r="F10" s="72" t="s">
        <v>49</v>
      </c>
      <c r="G10" s="72" t="s">
        <v>49</v>
      </c>
      <c r="H10"/>
      <c r="J10" s="86" t="s">
        <v>292</v>
      </c>
      <c r="K10" s="72">
        <v>0</v>
      </c>
      <c r="L10" s="72">
        <v>2.25</v>
      </c>
      <c r="M10" s="72"/>
      <c r="N10" s="72">
        <v>3</v>
      </c>
      <c r="Q10">
        <v>1.4</v>
      </c>
      <c r="T10" s="313" t="s">
        <v>311</v>
      </c>
      <c r="U10">
        <v>1100</v>
      </c>
      <c r="V10">
        <v>600</v>
      </c>
      <c r="W10">
        <v>300</v>
      </c>
      <c r="Y10" s="313" t="s">
        <v>293</v>
      </c>
      <c r="Z10">
        <v>2000</v>
      </c>
      <c r="AA10">
        <v>1000</v>
      </c>
      <c r="AB10">
        <v>500</v>
      </c>
    </row>
    <row r="11" spans="1:28">
      <c r="A11" s="85" t="s">
        <v>292</v>
      </c>
      <c r="B11" s="72">
        <v>10</v>
      </c>
      <c r="C11" s="72">
        <v>0.18</v>
      </c>
      <c r="D11" s="72">
        <v>20</v>
      </c>
      <c r="E11" s="72">
        <v>3</v>
      </c>
      <c r="F11" s="72" t="s">
        <v>49</v>
      </c>
      <c r="G11" s="72" t="s">
        <v>49</v>
      </c>
      <c r="H11"/>
      <c r="J11" s="86" t="s">
        <v>294</v>
      </c>
      <c r="K11" s="72">
        <v>0</v>
      </c>
      <c r="L11" s="72">
        <v>1.5</v>
      </c>
      <c r="M11" s="72"/>
      <c r="N11" s="72">
        <v>3</v>
      </c>
      <c r="Q11">
        <v>1.4</v>
      </c>
      <c r="T11" s="313" t="s">
        <v>295</v>
      </c>
      <c r="U11">
        <v>800</v>
      </c>
      <c r="V11">
        <v>400</v>
      </c>
      <c r="W11">
        <v>250</v>
      </c>
      <c r="Y11" s="313" t="s">
        <v>295</v>
      </c>
      <c r="Z11">
        <v>2000</v>
      </c>
      <c r="AA11">
        <v>1000</v>
      </c>
      <c r="AB11">
        <v>500</v>
      </c>
    </row>
    <row r="12" spans="1:28">
      <c r="A12" s="85" t="s">
        <v>294</v>
      </c>
      <c r="B12" s="72">
        <v>10</v>
      </c>
      <c r="C12" s="72">
        <v>0.18</v>
      </c>
      <c r="D12" s="72">
        <v>20</v>
      </c>
      <c r="E12" s="72">
        <v>3</v>
      </c>
      <c r="F12" s="72" t="s">
        <v>49</v>
      </c>
      <c r="G12" s="72" t="s">
        <v>49</v>
      </c>
      <c r="H12"/>
      <c r="J12" s="86" t="s">
        <v>296</v>
      </c>
      <c r="K12" s="72">
        <v>0</v>
      </c>
      <c r="L12" s="72">
        <v>0.5</v>
      </c>
      <c r="M12" s="72" t="s">
        <v>297</v>
      </c>
      <c r="N12" s="72">
        <v>1</v>
      </c>
      <c r="Q12">
        <v>1.2</v>
      </c>
      <c r="T12" s="313" t="s">
        <v>125</v>
      </c>
      <c r="U12">
        <v>1500</v>
      </c>
      <c r="V12">
        <v>700</v>
      </c>
      <c r="W12">
        <v>400</v>
      </c>
      <c r="Y12" s="313" t="s">
        <v>298</v>
      </c>
      <c r="Z12">
        <v>2000</v>
      </c>
      <c r="AA12">
        <v>1000</v>
      </c>
      <c r="AB12">
        <v>500</v>
      </c>
    </row>
    <row r="13" spans="1:28">
      <c r="A13" s="85" t="s">
        <v>299</v>
      </c>
      <c r="B13" s="72">
        <v>7.5</v>
      </c>
      <c r="C13" s="72">
        <v>0.06</v>
      </c>
      <c r="D13" s="72">
        <v>50</v>
      </c>
      <c r="E13" s="72">
        <v>2</v>
      </c>
      <c r="F13" s="72" t="s">
        <v>49</v>
      </c>
      <c r="G13" s="72" t="s">
        <v>49</v>
      </c>
      <c r="H13"/>
      <c r="J13" s="86" t="s">
        <v>300</v>
      </c>
      <c r="K13" s="72">
        <v>0</v>
      </c>
      <c r="L13" s="72">
        <v>0.7</v>
      </c>
      <c r="M13" s="72"/>
      <c r="N13" s="72">
        <v>2</v>
      </c>
      <c r="Q13">
        <v>1.5</v>
      </c>
      <c r="T13" s="313" t="s">
        <v>325</v>
      </c>
      <c r="U13">
        <v>7000</v>
      </c>
      <c r="V13">
        <v>3000</v>
      </c>
      <c r="W13">
        <v>1700</v>
      </c>
      <c r="Y13" s="313" t="s">
        <v>301</v>
      </c>
      <c r="Z13">
        <v>2000</v>
      </c>
      <c r="AA13">
        <v>1000</v>
      </c>
      <c r="AB13">
        <v>500</v>
      </c>
    </row>
    <row r="14" spans="1:28">
      <c r="A14" s="85" t="s">
        <v>302</v>
      </c>
      <c r="B14" s="72">
        <v>5</v>
      </c>
      <c r="C14" s="72">
        <v>0.12</v>
      </c>
      <c r="D14" s="72">
        <v>25</v>
      </c>
      <c r="E14" s="72">
        <v>2</v>
      </c>
      <c r="F14" s="72" t="s">
        <v>49</v>
      </c>
      <c r="G14" s="72" t="s">
        <v>49</v>
      </c>
      <c r="H14"/>
      <c r="J14" s="86" t="s">
        <v>303</v>
      </c>
      <c r="K14" s="72">
        <v>0</v>
      </c>
      <c r="L14" s="72">
        <v>1.5</v>
      </c>
      <c r="M14" s="72" t="s">
        <v>304</v>
      </c>
      <c r="N14" s="72">
        <v>2</v>
      </c>
      <c r="T14" s="313" t="s">
        <v>298</v>
      </c>
      <c r="U14">
        <v>800</v>
      </c>
      <c r="V14">
        <v>400</v>
      </c>
      <c r="W14">
        <v>250</v>
      </c>
      <c r="Y14" s="313" t="s">
        <v>305</v>
      </c>
      <c r="Z14">
        <v>2000</v>
      </c>
      <c r="AA14">
        <v>1000</v>
      </c>
      <c r="AB14">
        <v>500</v>
      </c>
    </row>
    <row r="15" spans="1:28">
      <c r="A15" s="85" t="s">
        <v>306</v>
      </c>
      <c r="B15" s="72">
        <v>5</v>
      </c>
      <c r="C15" s="72">
        <v>0.06</v>
      </c>
      <c r="D15" s="72">
        <v>30</v>
      </c>
      <c r="E15" s="72">
        <v>1</v>
      </c>
      <c r="F15" s="72" t="s">
        <v>49</v>
      </c>
      <c r="G15" s="72" t="s">
        <v>49</v>
      </c>
      <c r="H15"/>
      <c r="J15" s="86" t="s">
        <v>307</v>
      </c>
      <c r="K15" s="72">
        <v>0</v>
      </c>
      <c r="L15" s="72">
        <v>0.5</v>
      </c>
      <c r="M15" s="72"/>
      <c r="N15" s="72">
        <v>2</v>
      </c>
      <c r="T15" s="313" t="s">
        <v>319</v>
      </c>
      <c r="U15">
        <v>1500</v>
      </c>
      <c r="V15">
        <v>700</v>
      </c>
      <c r="W15">
        <v>400</v>
      </c>
      <c r="Y15" s="313" t="s">
        <v>308</v>
      </c>
      <c r="Z15">
        <v>2300</v>
      </c>
      <c r="AA15">
        <v>1100</v>
      </c>
      <c r="AB15">
        <v>600</v>
      </c>
    </row>
    <row r="16" spans="1:28">
      <c r="A16" s="85" t="s">
        <v>309</v>
      </c>
      <c r="B16" s="72">
        <v>5</v>
      </c>
      <c r="C16" s="72">
        <v>0.06</v>
      </c>
      <c r="D16" s="72">
        <v>15</v>
      </c>
      <c r="E16" s="72">
        <v>1</v>
      </c>
      <c r="F16" s="72" t="s">
        <v>49</v>
      </c>
      <c r="G16" s="72" t="s">
        <v>49</v>
      </c>
      <c r="H16"/>
      <c r="J16" s="86" t="s">
        <v>310</v>
      </c>
      <c r="K16" s="72">
        <v>0</v>
      </c>
      <c r="L16" s="72">
        <v>0.6</v>
      </c>
      <c r="M16" s="72"/>
      <c r="N16" s="72">
        <v>2</v>
      </c>
      <c r="T16" s="313" t="s">
        <v>314</v>
      </c>
      <c r="U16">
        <v>1100</v>
      </c>
      <c r="V16">
        <v>600</v>
      </c>
      <c r="W16">
        <v>300</v>
      </c>
      <c r="Y16" s="313" t="s">
        <v>311</v>
      </c>
      <c r="Z16">
        <v>2300</v>
      </c>
      <c r="AA16">
        <v>1100</v>
      </c>
      <c r="AB16">
        <v>600</v>
      </c>
    </row>
    <row r="17" spans="1:28">
      <c r="A17" s="85" t="s">
        <v>312</v>
      </c>
      <c r="B17" s="72">
        <v>10</v>
      </c>
      <c r="C17" s="72">
        <v>0.18</v>
      </c>
      <c r="D17" s="72">
        <v>20</v>
      </c>
      <c r="E17" s="72">
        <v>2</v>
      </c>
      <c r="F17" s="72" t="s">
        <v>49</v>
      </c>
      <c r="G17" s="72" t="s">
        <v>49</v>
      </c>
      <c r="H17"/>
      <c r="J17" s="86" t="s">
        <v>313</v>
      </c>
      <c r="K17" s="72">
        <v>0</v>
      </c>
      <c r="L17" s="72">
        <v>1</v>
      </c>
      <c r="M17" s="72"/>
      <c r="N17" s="72">
        <v>2</v>
      </c>
      <c r="T17" s="313" t="s">
        <v>283</v>
      </c>
      <c r="U17">
        <v>600</v>
      </c>
      <c r="V17">
        <v>250</v>
      </c>
      <c r="W17">
        <v>150</v>
      </c>
      <c r="Y17" s="313" t="s">
        <v>314</v>
      </c>
      <c r="Z17">
        <v>2300</v>
      </c>
      <c r="AA17">
        <v>1100</v>
      </c>
      <c r="AB17">
        <v>600</v>
      </c>
    </row>
    <row r="18" spans="1:28">
      <c r="A18" s="85" t="s">
        <v>315</v>
      </c>
      <c r="B18" s="72">
        <v>10</v>
      </c>
      <c r="C18" s="72">
        <v>0.12</v>
      </c>
      <c r="D18" s="72">
        <v>25</v>
      </c>
      <c r="E18" s="72">
        <v>1</v>
      </c>
      <c r="F18" s="72" t="s">
        <v>49</v>
      </c>
      <c r="G18" s="72" t="s">
        <v>49</v>
      </c>
      <c r="H18"/>
      <c r="J18" s="86" t="s">
        <v>316</v>
      </c>
      <c r="K18" s="72">
        <v>0</v>
      </c>
      <c r="L18" s="72">
        <v>0.5</v>
      </c>
      <c r="M18" s="72"/>
      <c r="N18" s="72">
        <v>2</v>
      </c>
      <c r="T18" s="313" t="s">
        <v>301</v>
      </c>
      <c r="U18">
        <v>800</v>
      </c>
      <c r="V18">
        <v>400</v>
      </c>
      <c r="W18">
        <v>250</v>
      </c>
      <c r="Y18" s="313" t="s">
        <v>125</v>
      </c>
      <c r="Z18">
        <v>5200</v>
      </c>
      <c r="AA18">
        <v>2350</v>
      </c>
      <c r="AB18">
        <v>1250</v>
      </c>
    </row>
    <row r="19" spans="1:28">
      <c r="A19" s="85" t="s">
        <v>317</v>
      </c>
      <c r="B19" s="72">
        <v>10</v>
      </c>
      <c r="C19" s="72">
        <v>0.12</v>
      </c>
      <c r="D19" s="72">
        <v>35</v>
      </c>
      <c r="E19" s="72">
        <v>1</v>
      </c>
      <c r="F19" s="72" t="s">
        <v>49</v>
      </c>
      <c r="G19" s="72" t="s">
        <v>49</v>
      </c>
      <c r="H19"/>
      <c r="J19" s="86" t="s">
        <v>318</v>
      </c>
      <c r="K19" s="72">
        <v>0</v>
      </c>
      <c r="L19" s="72">
        <v>1</v>
      </c>
      <c r="M19" s="72"/>
      <c r="N19" s="72">
        <v>2</v>
      </c>
      <c r="Q19" t="s">
        <v>112</v>
      </c>
      <c r="T19" s="313" t="s">
        <v>305</v>
      </c>
      <c r="U19">
        <v>800</v>
      </c>
      <c r="V19">
        <v>400</v>
      </c>
      <c r="W19">
        <v>250</v>
      </c>
      <c r="Y19" s="313" t="s">
        <v>319</v>
      </c>
      <c r="Z19">
        <v>5200</v>
      </c>
      <c r="AA19">
        <v>2350</v>
      </c>
      <c r="AB19">
        <v>1250</v>
      </c>
    </row>
    <row r="20" spans="1:28">
      <c r="A20" s="85" t="s">
        <v>320</v>
      </c>
      <c r="B20" s="72">
        <v>10</v>
      </c>
      <c r="C20" s="72">
        <v>0.12</v>
      </c>
      <c r="D20" s="72">
        <v>25</v>
      </c>
      <c r="E20" s="72">
        <v>1</v>
      </c>
      <c r="F20" s="72" t="s">
        <v>49</v>
      </c>
      <c r="G20" s="72" t="s">
        <v>49</v>
      </c>
      <c r="H20"/>
      <c r="J20" s="86" t="s">
        <v>321</v>
      </c>
      <c r="K20" s="72">
        <v>0</v>
      </c>
      <c r="L20" s="72">
        <v>1</v>
      </c>
      <c r="M20" s="72"/>
      <c r="N20" s="72">
        <v>2</v>
      </c>
      <c r="Q20" t="s">
        <v>49</v>
      </c>
      <c r="T20" s="313" t="s">
        <v>285</v>
      </c>
      <c r="U20">
        <v>600</v>
      </c>
      <c r="V20">
        <v>250</v>
      </c>
      <c r="W20">
        <v>150</v>
      </c>
      <c r="Y20" s="313" t="s">
        <v>322</v>
      </c>
      <c r="Z20">
        <v>5800</v>
      </c>
      <c r="AA20">
        <v>2600</v>
      </c>
      <c r="AB20">
        <v>1400</v>
      </c>
    </row>
    <row r="21" spans="1:28">
      <c r="A21" s="85" t="s">
        <v>323</v>
      </c>
      <c r="B21" s="72">
        <v>10</v>
      </c>
      <c r="C21" s="72">
        <v>0.18</v>
      </c>
      <c r="D21" s="72">
        <v>25</v>
      </c>
      <c r="E21" s="72">
        <v>2</v>
      </c>
      <c r="F21" s="72" t="s">
        <v>49</v>
      </c>
      <c r="G21" s="72" t="s">
        <v>49</v>
      </c>
      <c r="H21"/>
      <c r="J21" s="86" t="s">
        <v>324</v>
      </c>
      <c r="K21" s="72">
        <v>0</v>
      </c>
      <c r="L21" s="72">
        <v>1</v>
      </c>
      <c r="M21" s="72"/>
      <c r="N21" s="72">
        <v>3</v>
      </c>
      <c r="T21" s="313" t="s">
        <v>287</v>
      </c>
      <c r="U21">
        <v>600</v>
      </c>
      <c r="V21">
        <v>250</v>
      </c>
      <c r="W21">
        <v>150</v>
      </c>
      <c r="Y21" s="313" t="s">
        <v>325</v>
      </c>
      <c r="Z21">
        <v>12000</v>
      </c>
      <c r="AA21">
        <v>6000</v>
      </c>
      <c r="AB21">
        <v>3000</v>
      </c>
    </row>
    <row r="22" spans="1:28">
      <c r="A22" s="85" t="s">
        <v>326</v>
      </c>
      <c r="B22" s="72">
        <v>10</v>
      </c>
      <c r="C22" s="72">
        <v>0.18</v>
      </c>
      <c r="D22" s="72">
        <v>25</v>
      </c>
      <c r="E22" s="72">
        <v>3</v>
      </c>
      <c r="F22" s="72" t="s">
        <v>49</v>
      </c>
      <c r="G22" s="72" t="s">
        <v>49</v>
      </c>
      <c r="H22"/>
      <c r="J22" s="86" t="s">
        <v>327</v>
      </c>
      <c r="K22" s="72">
        <v>0</v>
      </c>
      <c r="L22" s="72">
        <v>0.3</v>
      </c>
      <c r="M22" s="72"/>
      <c r="N22" s="72">
        <v>2</v>
      </c>
    </row>
    <row r="23" spans="1:28">
      <c r="A23" s="85" t="s">
        <v>328</v>
      </c>
      <c r="B23" s="72">
        <v>7.5</v>
      </c>
      <c r="C23" s="72">
        <v>0.06</v>
      </c>
      <c r="D23" s="72">
        <v>65</v>
      </c>
      <c r="E23" s="72">
        <v>1</v>
      </c>
      <c r="F23" s="74" t="s">
        <v>112</v>
      </c>
      <c r="G23" s="72" t="s">
        <v>49</v>
      </c>
      <c r="H23"/>
      <c r="J23" s="86" t="s">
        <v>329</v>
      </c>
      <c r="K23" s="72">
        <v>0</v>
      </c>
      <c r="L23" s="72">
        <v>0.7</v>
      </c>
      <c r="M23" s="72"/>
      <c r="N23" s="72">
        <v>2</v>
      </c>
    </row>
    <row r="24" spans="1:28">
      <c r="A24" s="85" t="s">
        <v>330</v>
      </c>
      <c r="B24" s="72">
        <v>7.5</v>
      </c>
      <c r="C24" s="72">
        <v>0.06</v>
      </c>
      <c r="D24" s="72">
        <v>150</v>
      </c>
      <c r="E24" s="72">
        <v>1</v>
      </c>
      <c r="F24" s="74" t="s">
        <v>112</v>
      </c>
      <c r="G24" s="72" t="s">
        <v>49</v>
      </c>
      <c r="H24"/>
      <c r="J24" s="86" t="s">
        <v>331</v>
      </c>
      <c r="K24" s="72">
        <v>0</v>
      </c>
      <c r="L24" s="72">
        <v>0.5</v>
      </c>
      <c r="M24" s="72"/>
      <c r="N24" s="72">
        <v>2</v>
      </c>
    </row>
    <row r="25" spans="1:28">
      <c r="A25" s="85" t="s">
        <v>107</v>
      </c>
      <c r="B25" s="72">
        <v>5</v>
      </c>
      <c r="C25" s="72">
        <v>0.12</v>
      </c>
      <c r="D25" s="72">
        <v>10</v>
      </c>
      <c r="E25" s="72">
        <v>0</v>
      </c>
      <c r="F25" s="72" t="s">
        <v>49</v>
      </c>
      <c r="G25" s="72" t="s">
        <v>49</v>
      </c>
      <c r="H25"/>
      <c r="J25" s="86" t="s">
        <v>332</v>
      </c>
      <c r="K25" s="72">
        <v>0</v>
      </c>
      <c r="L25" s="72">
        <v>0.25</v>
      </c>
      <c r="M25" s="72"/>
      <c r="N25" s="72">
        <v>2</v>
      </c>
    </row>
    <row r="26" spans="1:28">
      <c r="A26" s="85" t="s">
        <v>333</v>
      </c>
      <c r="B26" s="72">
        <v>10</v>
      </c>
      <c r="C26" s="72">
        <v>0.12</v>
      </c>
      <c r="D26" s="72">
        <v>25</v>
      </c>
      <c r="E26" s="72">
        <v>1</v>
      </c>
      <c r="F26" s="72" t="s">
        <v>49</v>
      </c>
      <c r="G26" s="72" t="s">
        <v>49</v>
      </c>
      <c r="H26"/>
      <c r="J26" s="86" t="s">
        <v>334</v>
      </c>
      <c r="K26" s="72">
        <v>50</v>
      </c>
      <c r="L26" s="72"/>
      <c r="M26" s="72" t="s">
        <v>335</v>
      </c>
      <c r="N26" s="72">
        <v>2</v>
      </c>
      <c r="S26">
        <f>VLOOKUP(INPUT_OUTPUTS!C6,DCV_noEArecovery[#All],2)</f>
        <v>400</v>
      </c>
    </row>
    <row r="27" spans="1:28">
      <c r="A27" s="85" t="s">
        <v>336</v>
      </c>
      <c r="B27" s="72">
        <v>7.5</v>
      </c>
      <c r="C27" s="72">
        <v>0.06</v>
      </c>
      <c r="D27" s="72">
        <v>100</v>
      </c>
      <c r="E27" s="72">
        <v>1</v>
      </c>
      <c r="F27" s="74" t="s">
        <v>112</v>
      </c>
      <c r="G27" s="72" t="s">
        <v>49</v>
      </c>
      <c r="H27"/>
      <c r="J27" s="86" t="s">
        <v>337</v>
      </c>
      <c r="K27" s="72">
        <v>0</v>
      </c>
      <c r="L27" s="72">
        <v>0</v>
      </c>
      <c r="M27" s="72" t="s">
        <v>151</v>
      </c>
      <c r="N27" s="72">
        <v>4</v>
      </c>
    </row>
    <row r="28" spans="1:28">
      <c r="A28" s="85" t="s">
        <v>338</v>
      </c>
      <c r="B28" s="72">
        <v>10</v>
      </c>
      <c r="C28" s="72">
        <v>0.06</v>
      </c>
      <c r="D28" s="72">
        <v>35</v>
      </c>
      <c r="E28" s="72">
        <v>1</v>
      </c>
      <c r="F28" s="74" t="s">
        <v>112</v>
      </c>
      <c r="G28" s="72" t="s">
        <v>49</v>
      </c>
      <c r="H28"/>
      <c r="J28" s="86" t="s">
        <v>339</v>
      </c>
      <c r="K28" s="72">
        <v>0</v>
      </c>
      <c r="L28" s="72">
        <v>0.75</v>
      </c>
      <c r="M28" s="72" t="s">
        <v>340</v>
      </c>
      <c r="N28" s="72">
        <v>2</v>
      </c>
    </row>
    <row r="29" spans="1:28">
      <c r="A29" s="85" t="s">
        <v>341</v>
      </c>
      <c r="B29" s="72">
        <v>10</v>
      </c>
      <c r="C29" s="72">
        <v>0.18</v>
      </c>
      <c r="D29" s="72">
        <v>25</v>
      </c>
      <c r="E29" s="72">
        <v>2</v>
      </c>
      <c r="F29" s="72" t="s">
        <v>49</v>
      </c>
      <c r="G29" s="72" t="s">
        <v>49</v>
      </c>
      <c r="H29"/>
      <c r="J29" s="86" t="s">
        <v>342</v>
      </c>
      <c r="K29" s="72">
        <v>0</v>
      </c>
      <c r="L29" s="72">
        <v>0.9</v>
      </c>
      <c r="M29" s="72"/>
      <c r="N29" s="72">
        <v>2</v>
      </c>
    </row>
    <row r="30" spans="1:28">
      <c r="A30" s="85" t="s">
        <v>343</v>
      </c>
      <c r="B30" s="72">
        <v>10</v>
      </c>
      <c r="C30" s="72">
        <v>0.18</v>
      </c>
      <c r="D30" s="72">
        <v>25</v>
      </c>
      <c r="E30" s="72">
        <v>2</v>
      </c>
      <c r="F30" s="72" t="s">
        <v>49</v>
      </c>
      <c r="G30" s="72" t="s">
        <v>49</v>
      </c>
      <c r="H30"/>
      <c r="J30" s="86" t="s">
        <v>344</v>
      </c>
      <c r="K30" s="72">
        <v>0</v>
      </c>
      <c r="L30" s="72">
        <v>0</v>
      </c>
      <c r="M30" s="72" t="s">
        <v>151</v>
      </c>
      <c r="N30" s="72">
        <v>3</v>
      </c>
    </row>
    <row r="31" spans="1:28">
      <c r="A31" s="85" t="s">
        <v>345</v>
      </c>
      <c r="B31" s="72">
        <v>10</v>
      </c>
      <c r="C31" s="72">
        <v>0.18</v>
      </c>
      <c r="D31" s="72">
        <v>20</v>
      </c>
      <c r="E31" s="72">
        <v>2</v>
      </c>
      <c r="F31" s="72" t="s">
        <v>49</v>
      </c>
      <c r="G31" s="72" t="s">
        <v>49</v>
      </c>
      <c r="H31"/>
      <c r="J31" s="86" t="s">
        <v>346</v>
      </c>
      <c r="K31" s="72">
        <v>100</v>
      </c>
      <c r="L31" s="72">
        <v>0</v>
      </c>
      <c r="M31" s="72" t="s">
        <v>335</v>
      </c>
      <c r="N31" s="72">
        <v>2</v>
      </c>
    </row>
    <row r="32" spans="1:28">
      <c r="A32" s="85" t="s">
        <v>347</v>
      </c>
      <c r="B32" s="72">
        <v>7.5</v>
      </c>
      <c r="C32" s="72">
        <v>0.18</v>
      </c>
      <c r="D32" s="72">
        <v>100</v>
      </c>
      <c r="E32" s="72">
        <v>2</v>
      </c>
      <c r="F32" s="72" t="s">
        <v>49</v>
      </c>
      <c r="G32" s="72" t="s">
        <v>49</v>
      </c>
      <c r="H32"/>
      <c r="J32" s="86" t="s">
        <v>348</v>
      </c>
      <c r="K32" s="72">
        <v>0</v>
      </c>
      <c r="L32" s="72">
        <v>1</v>
      </c>
      <c r="M32" s="72" t="s">
        <v>151</v>
      </c>
      <c r="N32" s="72">
        <v>3</v>
      </c>
    </row>
    <row r="33" spans="1:14">
      <c r="A33" s="85" t="s">
        <v>349</v>
      </c>
      <c r="B33" s="72">
        <v>7.5</v>
      </c>
      <c r="C33" s="72">
        <v>0.18</v>
      </c>
      <c r="D33" s="72">
        <v>100</v>
      </c>
      <c r="E33" s="72">
        <v>2</v>
      </c>
      <c r="F33" s="72" t="s">
        <v>49</v>
      </c>
      <c r="G33" s="72" t="s">
        <v>49</v>
      </c>
      <c r="H33"/>
      <c r="J33" s="86" t="s">
        <v>350</v>
      </c>
      <c r="K33" s="72">
        <v>0</v>
      </c>
      <c r="L33" s="72">
        <v>1.5</v>
      </c>
      <c r="M33" s="72" t="s">
        <v>151</v>
      </c>
      <c r="N33" s="72">
        <v>4</v>
      </c>
    </row>
    <row r="34" spans="1:14">
      <c r="A34" s="85" t="s">
        <v>351</v>
      </c>
      <c r="B34" s="72">
        <v>7.5</v>
      </c>
      <c r="C34" s="72">
        <v>0.12</v>
      </c>
      <c r="D34" s="72">
        <v>20</v>
      </c>
      <c r="E34" s="72">
        <v>2</v>
      </c>
      <c r="F34" s="72" t="s">
        <v>49</v>
      </c>
      <c r="G34" s="72" t="s">
        <v>49</v>
      </c>
      <c r="H34"/>
      <c r="J34" s="86" t="s">
        <v>72</v>
      </c>
      <c r="K34" s="72">
        <v>50</v>
      </c>
      <c r="L34" s="72">
        <v>0</v>
      </c>
      <c r="M34" s="72" t="s">
        <v>352</v>
      </c>
      <c r="N34" s="72">
        <v>2</v>
      </c>
    </row>
    <row r="35" spans="1:14">
      <c r="A35" s="85" t="s">
        <v>353</v>
      </c>
      <c r="B35" s="72">
        <v>7.5</v>
      </c>
      <c r="C35" s="72">
        <v>0.18</v>
      </c>
      <c r="D35" s="72">
        <v>70</v>
      </c>
      <c r="E35" s="72">
        <v>2</v>
      </c>
      <c r="F35" s="72" t="s">
        <v>49</v>
      </c>
      <c r="G35" s="72" t="s">
        <v>49</v>
      </c>
      <c r="H35"/>
      <c r="J35" s="86" t="s">
        <v>354</v>
      </c>
      <c r="K35" s="72">
        <v>70</v>
      </c>
      <c r="L35" s="72">
        <v>0</v>
      </c>
      <c r="M35" s="72" t="s">
        <v>355</v>
      </c>
      <c r="N35" s="72">
        <v>2</v>
      </c>
    </row>
    <row r="36" spans="1:14">
      <c r="A36" s="85" t="s">
        <v>356</v>
      </c>
      <c r="B36" s="72">
        <v>5</v>
      </c>
      <c r="C36" s="72">
        <v>0.06</v>
      </c>
      <c r="D36" s="72">
        <v>25</v>
      </c>
      <c r="E36" s="72">
        <v>1</v>
      </c>
      <c r="F36" s="74" t="s">
        <v>112</v>
      </c>
      <c r="G36" s="72" t="s">
        <v>49</v>
      </c>
      <c r="H36"/>
      <c r="J36" s="86" t="s">
        <v>48</v>
      </c>
      <c r="K36" s="72">
        <v>0</v>
      </c>
      <c r="L36" s="72">
        <v>0</v>
      </c>
      <c r="M36" s="72">
        <v>0</v>
      </c>
      <c r="N36" s="72">
        <v>0</v>
      </c>
    </row>
    <row r="37" spans="1:14">
      <c r="A37" s="85" t="s">
        <v>357</v>
      </c>
      <c r="B37" s="72">
        <v>5</v>
      </c>
      <c r="C37" s="72">
        <v>0.06</v>
      </c>
      <c r="D37" s="72">
        <v>20</v>
      </c>
      <c r="E37" s="72">
        <v>1</v>
      </c>
      <c r="F37" s="74" t="s">
        <v>112</v>
      </c>
      <c r="G37" s="72" t="s">
        <v>49</v>
      </c>
      <c r="H37"/>
      <c r="J37" s="86" t="s">
        <v>358</v>
      </c>
      <c r="K37" s="72">
        <v>0</v>
      </c>
      <c r="L37" s="72">
        <v>0.5</v>
      </c>
      <c r="M37" s="72"/>
      <c r="N37" s="72">
        <v>2</v>
      </c>
    </row>
    <row r="38" spans="1:14">
      <c r="A38" s="85" t="s">
        <v>75</v>
      </c>
      <c r="B38" s="72">
        <v>5</v>
      </c>
      <c r="C38" s="72">
        <v>0.06</v>
      </c>
      <c r="D38" s="72">
        <v>50</v>
      </c>
      <c r="E38" s="72">
        <v>1</v>
      </c>
      <c r="F38" s="74" t="s">
        <v>112</v>
      </c>
      <c r="G38" s="72" t="s">
        <v>49</v>
      </c>
      <c r="H38"/>
    </row>
    <row r="39" spans="1:14">
      <c r="A39" s="85" t="s">
        <v>359</v>
      </c>
      <c r="B39" s="72">
        <v>0</v>
      </c>
      <c r="C39" s="72">
        <v>0.06</v>
      </c>
      <c r="D39" s="72">
        <v>0</v>
      </c>
      <c r="E39" s="72">
        <v>1</v>
      </c>
      <c r="F39" s="74" t="s">
        <v>112</v>
      </c>
      <c r="G39" s="72" t="s">
        <v>112</v>
      </c>
      <c r="H39"/>
    </row>
    <row r="40" spans="1:14">
      <c r="A40" s="85" t="s">
        <v>360</v>
      </c>
      <c r="B40" s="72">
        <v>5</v>
      </c>
      <c r="C40" s="72">
        <v>0.12</v>
      </c>
      <c r="D40" s="72">
        <v>2</v>
      </c>
      <c r="E40" s="72">
        <v>2</v>
      </c>
      <c r="F40" s="74" t="s">
        <v>112</v>
      </c>
      <c r="G40" s="72" t="s">
        <v>49</v>
      </c>
      <c r="H40"/>
    </row>
    <row r="41" spans="1:14">
      <c r="A41" s="85" t="s">
        <v>104</v>
      </c>
      <c r="B41" s="72">
        <v>0</v>
      </c>
      <c r="C41" s="72">
        <v>0</v>
      </c>
      <c r="D41" s="72">
        <v>0</v>
      </c>
      <c r="E41" s="72">
        <v>2</v>
      </c>
      <c r="F41" s="72" t="s">
        <v>49</v>
      </c>
      <c r="G41" s="72" t="s">
        <v>112</v>
      </c>
      <c r="H41"/>
    </row>
    <row r="42" spans="1:14">
      <c r="A42" s="85" t="s">
        <v>361</v>
      </c>
      <c r="B42" s="72">
        <v>5</v>
      </c>
      <c r="C42" s="72">
        <v>0.06</v>
      </c>
      <c r="D42" s="72">
        <v>20</v>
      </c>
      <c r="E42" s="72">
        <v>1</v>
      </c>
      <c r="F42" s="74" t="s">
        <v>112</v>
      </c>
      <c r="G42" s="72" t="s">
        <v>49</v>
      </c>
      <c r="H42"/>
    </row>
    <row r="43" spans="1:14">
      <c r="A43" s="85" t="s">
        <v>362</v>
      </c>
      <c r="B43" s="72">
        <v>5</v>
      </c>
      <c r="C43" s="72">
        <v>0.06</v>
      </c>
      <c r="D43" s="72">
        <v>10</v>
      </c>
      <c r="E43" s="72">
        <v>1</v>
      </c>
      <c r="F43" s="72" t="s">
        <v>49</v>
      </c>
      <c r="G43" s="72" t="s">
        <v>49</v>
      </c>
      <c r="H43"/>
    </row>
    <row r="44" spans="1:14">
      <c r="A44" s="85" t="s">
        <v>363</v>
      </c>
      <c r="B44" s="72">
        <v>5</v>
      </c>
      <c r="C44" s="72">
        <v>0.12</v>
      </c>
      <c r="D44" s="72">
        <v>10</v>
      </c>
      <c r="E44" s="72">
        <v>1</v>
      </c>
      <c r="F44" s="72" t="s">
        <v>49</v>
      </c>
      <c r="G44" s="72" t="s">
        <v>49</v>
      </c>
      <c r="H44"/>
    </row>
    <row r="45" spans="1:14">
      <c r="A45" s="85" t="s">
        <v>364</v>
      </c>
      <c r="B45" s="72">
        <v>5</v>
      </c>
      <c r="C45" s="72">
        <v>0.12</v>
      </c>
      <c r="D45" s="72">
        <v>10</v>
      </c>
      <c r="E45" s="72">
        <v>2</v>
      </c>
      <c r="F45" s="72" t="s">
        <v>49</v>
      </c>
      <c r="G45" s="72" t="s">
        <v>49</v>
      </c>
      <c r="H45"/>
    </row>
    <row r="46" spans="1:14">
      <c r="A46" s="85" t="s">
        <v>365</v>
      </c>
      <c r="B46" s="72">
        <v>7.5</v>
      </c>
      <c r="C46" s="72">
        <v>0.06</v>
      </c>
      <c r="D46" s="72">
        <v>30</v>
      </c>
      <c r="E46" s="72">
        <v>1</v>
      </c>
      <c r="F46" s="74" t="s">
        <v>112</v>
      </c>
      <c r="G46" s="72" t="s">
        <v>49</v>
      </c>
      <c r="H46"/>
    </row>
    <row r="47" spans="1:14">
      <c r="A47" s="85" t="s">
        <v>366</v>
      </c>
      <c r="B47" s="72">
        <v>5</v>
      </c>
      <c r="C47" s="72">
        <v>0.06</v>
      </c>
      <c r="D47" s="72">
        <v>120</v>
      </c>
      <c r="E47" s="72">
        <v>1</v>
      </c>
      <c r="F47" s="74" t="s">
        <v>112</v>
      </c>
      <c r="G47" s="72" t="s">
        <v>49</v>
      </c>
      <c r="H47"/>
    </row>
    <row r="48" spans="1:14">
      <c r="A48" s="85" t="s">
        <v>367</v>
      </c>
      <c r="B48" s="72">
        <v>5</v>
      </c>
      <c r="C48" s="72">
        <v>0.06</v>
      </c>
      <c r="D48" s="72">
        <v>5</v>
      </c>
      <c r="E48" s="72">
        <v>2</v>
      </c>
      <c r="F48" s="74" t="s">
        <v>112</v>
      </c>
      <c r="G48" s="72" t="s">
        <v>49</v>
      </c>
      <c r="H48"/>
    </row>
    <row r="49" spans="1:8">
      <c r="A49" s="85" t="s">
        <v>368</v>
      </c>
      <c r="B49" s="72">
        <v>7.5</v>
      </c>
      <c r="C49" s="72">
        <v>0.06</v>
      </c>
      <c r="D49" s="72">
        <v>15</v>
      </c>
      <c r="E49" s="72">
        <v>1</v>
      </c>
      <c r="F49" s="74" t="s">
        <v>112</v>
      </c>
      <c r="G49" s="72" t="s">
        <v>49</v>
      </c>
      <c r="H49"/>
    </row>
    <row r="50" spans="1:8">
      <c r="A50" s="85" t="s">
        <v>369</v>
      </c>
      <c r="B50" s="72">
        <v>5</v>
      </c>
      <c r="C50" s="72">
        <v>0.06</v>
      </c>
      <c r="D50" s="72">
        <v>4</v>
      </c>
      <c r="E50" s="72">
        <v>1</v>
      </c>
      <c r="F50" s="74" t="s">
        <v>112</v>
      </c>
      <c r="G50" s="72" t="s">
        <v>49</v>
      </c>
      <c r="H50"/>
    </row>
    <row r="51" spans="1:8">
      <c r="A51" s="85" t="s">
        <v>370</v>
      </c>
      <c r="B51" s="72">
        <v>10</v>
      </c>
      <c r="C51" s="72">
        <v>0</v>
      </c>
      <c r="D51" s="72">
        <v>0</v>
      </c>
      <c r="E51" s="72">
        <v>2</v>
      </c>
      <c r="F51" s="72" t="s">
        <v>49</v>
      </c>
      <c r="G51" s="72" t="s">
        <v>49</v>
      </c>
      <c r="H51"/>
    </row>
    <row r="52" spans="1:8">
      <c r="A52" s="85" t="s">
        <v>371</v>
      </c>
      <c r="B52" s="72">
        <v>10</v>
      </c>
      <c r="C52" s="72">
        <v>0.18</v>
      </c>
      <c r="D52" s="72">
        <v>7</v>
      </c>
      <c r="E52" s="72">
        <v>2</v>
      </c>
      <c r="F52" s="72" t="s">
        <v>49</v>
      </c>
      <c r="G52" s="72" t="s">
        <v>49</v>
      </c>
      <c r="H52"/>
    </row>
    <row r="53" spans="1:8">
      <c r="A53" s="85" t="s">
        <v>372</v>
      </c>
      <c r="B53" s="72">
        <v>10</v>
      </c>
      <c r="C53" s="72">
        <v>0.18</v>
      </c>
      <c r="D53" s="72">
        <v>7</v>
      </c>
      <c r="E53" s="72">
        <v>3</v>
      </c>
      <c r="F53" s="72" t="s">
        <v>49</v>
      </c>
      <c r="G53" s="72" t="s">
        <v>49</v>
      </c>
      <c r="H53"/>
    </row>
    <row r="54" spans="1:8">
      <c r="A54" s="85" t="s">
        <v>373</v>
      </c>
      <c r="B54" s="72">
        <v>5</v>
      </c>
      <c r="C54" s="72">
        <v>0.18</v>
      </c>
      <c r="D54" s="72">
        <v>10</v>
      </c>
      <c r="E54" s="72">
        <v>2</v>
      </c>
      <c r="F54" s="72" t="s">
        <v>49</v>
      </c>
      <c r="G54" s="72" t="s">
        <v>49</v>
      </c>
      <c r="H54"/>
    </row>
    <row r="55" spans="1:8">
      <c r="A55" s="85" t="s">
        <v>267</v>
      </c>
      <c r="B55" s="72">
        <v>5</v>
      </c>
      <c r="C55" s="72">
        <v>0.12</v>
      </c>
      <c r="D55" s="72">
        <v>10</v>
      </c>
      <c r="E55" s="72">
        <v>1</v>
      </c>
      <c r="F55" s="72" t="s">
        <v>49</v>
      </c>
      <c r="G55" s="72" t="s">
        <v>49</v>
      </c>
      <c r="H55"/>
    </row>
    <row r="56" spans="1:8">
      <c r="A56" s="85" t="s">
        <v>374</v>
      </c>
      <c r="B56" s="72">
        <v>10</v>
      </c>
      <c r="C56" s="72">
        <v>0.12</v>
      </c>
      <c r="D56" s="72">
        <v>2</v>
      </c>
      <c r="E56" s="72">
        <v>2</v>
      </c>
      <c r="F56" s="72" t="s">
        <v>49</v>
      </c>
      <c r="G56" s="72" t="s">
        <v>49</v>
      </c>
      <c r="H56"/>
    </row>
    <row r="57" spans="1:8">
      <c r="A57" s="85" t="s">
        <v>375</v>
      </c>
      <c r="B57" s="72">
        <v>7.5</v>
      </c>
      <c r="C57" s="72">
        <v>0.12</v>
      </c>
      <c r="D57" s="72">
        <v>7</v>
      </c>
      <c r="E57" s="72">
        <v>2</v>
      </c>
      <c r="F57" s="72" t="s">
        <v>49</v>
      </c>
      <c r="G57" s="72" t="s">
        <v>49</v>
      </c>
      <c r="H57"/>
    </row>
    <row r="58" spans="1:8">
      <c r="A58" s="85" t="s">
        <v>376</v>
      </c>
      <c r="B58" s="72">
        <v>0</v>
      </c>
      <c r="C58" s="72">
        <v>0</v>
      </c>
      <c r="D58" s="72">
        <v>0</v>
      </c>
      <c r="E58" s="72">
        <v>1</v>
      </c>
      <c r="F58" s="72" t="s">
        <v>49</v>
      </c>
      <c r="G58" s="72" t="s">
        <v>49</v>
      </c>
      <c r="H58"/>
    </row>
    <row r="59" spans="1:8">
      <c r="A59" s="85" t="s">
        <v>377</v>
      </c>
      <c r="B59" s="72">
        <v>7.5</v>
      </c>
      <c r="C59" s="72">
        <v>0.06</v>
      </c>
      <c r="D59" s="72">
        <v>100</v>
      </c>
      <c r="E59" s="72">
        <v>1</v>
      </c>
      <c r="F59" s="74" t="s">
        <v>112</v>
      </c>
      <c r="G59" s="72" t="s">
        <v>49</v>
      </c>
      <c r="H59"/>
    </row>
    <row r="60" spans="1:8">
      <c r="A60" s="85" t="s">
        <v>378</v>
      </c>
      <c r="B60" s="72">
        <v>10</v>
      </c>
      <c r="C60" s="72">
        <v>0.06</v>
      </c>
      <c r="D60" s="72">
        <v>0</v>
      </c>
      <c r="E60" s="72">
        <v>2</v>
      </c>
      <c r="F60" s="72" t="s">
        <v>49</v>
      </c>
      <c r="G60" s="72" t="s">
        <v>112</v>
      </c>
      <c r="H60"/>
    </row>
    <row r="61" spans="1:8">
      <c r="A61" s="85" t="s">
        <v>379</v>
      </c>
      <c r="B61" s="72">
        <v>5</v>
      </c>
      <c r="C61" s="72">
        <v>0.12</v>
      </c>
      <c r="D61" s="72">
        <v>50</v>
      </c>
      <c r="E61" s="72">
        <v>1</v>
      </c>
      <c r="F61" s="72" t="s">
        <v>49</v>
      </c>
      <c r="G61" s="72" t="s">
        <v>49</v>
      </c>
      <c r="H61"/>
    </row>
    <row r="62" spans="1:8">
      <c r="A62" s="85" t="s">
        <v>380</v>
      </c>
      <c r="B62" s="72">
        <v>5</v>
      </c>
      <c r="C62" s="72">
        <v>0.06</v>
      </c>
      <c r="D62" s="72">
        <v>10</v>
      </c>
      <c r="E62" s="72">
        <v>1</v>
      </c>
      <c r="F62" s="74" t="s">
        <v>112</v>
      </c>
      <c r="G62" s="72" t="s">
        <v>49</v>
      </c>
      <c r="H62"/>
    </row>
    <row r="63" spans="1:8">
      <c r="A63" s="85" t="s">
        <v>381</v>
      </c>
      <c r="B63" s="72">
        <v>5</v>
      </c>
      <c r="C63" s="72">
        <v>0.06</v>
      </c>
      <c r="D63" s="72">
        <v>2</v>
      </c>
      <c r="E63" s="72">
        <v>1</v>
      </c>
      <c r="F63" s="72" t="s">
        <v>49</v>
      </c>
      <c r="G63" s="72" t="s">
        <v>112</v>
      </c>
      <c r="H63"/>
    </row>
    <row r="64" spans="1:8">
      <c r="A64" s="85" t="s">
        <v>382</v>
      </c>
      <c r="B64" s="72">
        <v>5</v>
      </c>
      <c r="C64" s="72">
        <v>0.06</v>
      </c>
      <c r="D64" s="72">
        <v>5</v>
      </c>
      <c r="E64" s="72">
        <v>1</v>
      </c>
      <c r="F64" s="74" t="s">
        <v>112</v>
      </c>
      <c r="G64" s="72" t="s">
        <v>49</v>
      </c>
      <c r="H64"/>
    </row>
    <row r="65" spans="1:8">
      <c r="A65" s="85" t="s">
        <v>383</v>
      </c>
      <c r="B65" s="72">
        <v>5</v>
      </c>
      <c r="C65" s="72">
        <v>0.06</v>
      </c>
      <c r="D65" s="72">
        <v>30</v>
      </c>
      <c r="E65" s="72">
        <v>1</v>
      </c>
      <c r="F65" s="74" t="s">
        <v>112</v>
      </c>
      <c r="G65" s="72" t="s">
        <v>49</v>
      </c>
      <c r="H65"/>
    </row>
    <row r="66" spans="1:8">
      <c r="A66" s="85" t="s">
        <v>384</v>
      </c>
      <c r="B66" s="72">
        <v>5</v>
      </c>
      <c r="C66" s="72">
        <v>0.06</v>
      </c>
      <c r="D66" s="72">
        <v>60</v>
      </c>
      <c r="E66" s="72">
        <v>1</v>
      </c>
      <c r="F66" s="74" t="s">
        <v>112</v>
      </c>
      <c r="G66" s="72" t="s">
        <v>49</v>
      </c>
      <c r="H66"/>
    </row>
    <row r="67" spans="1:8">
      <c r="A67" s="85" t="s">
        <v>385</v>
      </c>
      <c r="B67" s="72">
        <v>5</v>
      </c>
      <c r="C67" s="72">
        <v>0.06</v>
      </c>
      <c r="D67" s="72">
        <v>150</v>
      </c>
      <c r="E67" s="72">
        <v>1</v>
      </c>
      <c r="F67" s="74" t="s">
        <v>112</v>
      </c>
      <c r="G67" s="72" t="s">
        <v>49</v>
      </c>
      <c r="H67"/>
    </row>
    <row r="68" spans="1:8">
      <c r="A68" s="85" t="s">
        <v>386</v>
      </c>
      <c r="B68" s="72">
        <v>5</v>
      </c>
      <c r="C68" s="72">
        <v>0.06</v>
      </c>
      <c r="D68" s="72">
        <v>70</v>
      </c>
      <c r="E68" s="72">
        <v>1</v>
      </c>
      <c r="F68" s="74" t="s">
        <v>112</v>
      </c>
      <c r="G68" s="72" t="s">
        <v>49</v>
      </c>
      <c r="H68"/>
    </row>
    <row r="69" spans="1:8">
      <c r="A69" s="85" t="s">
        <v>387</v>
      </c>
      <c r="B69" s="72">
        <v>5</v>
      </c>
      <c r="C69" s="72">
        <v>0.06</v>
      </c>
      <c r="D69" s="72">
        <v>50</v>
      </c>
      <c r="E69" s="72">
        <v>1</v>
      </c>
      <c r="F69" s="74" t="s">
        <v>112</v>
      </c>
      <c r="G69" s="72" t="s">
        <v>49</v>
      </c>
      <c r="H69"/>
    </row>
    <row r="70" spans="1:8">
      <c r="A70" s="85" t="s">
        <v>388</v>
      </c>
      <c r="B70" s="72">
        <v>5</v>
      </c>
      <c r="C70" s="72">
        <v>0.12</v>
      </c>
      <c r="D70" s="72">
        <v>10</v>
      </c>
      <c r="E70" s="72">
        <v>1</v>
      </c>
      <c r="F70" s="72" t="s">
        <v>49</v>
      </c>
      <c r="G70" s="72" t="s">
        <v>49</v>
      </c>
      <c r="H70"/>
    </row>
    <row r="71" spans="1:8">
      <c r="A71" s="85" t="s">
        <v>389</v>
      </c>
      <c r="B71" s="72">
        <v>5</v>
      </c>
      <c r="C71" s="72">
        <v>0.06</v>
      </c>
      <c r="D71" s="72">
        <v>150</v>
      </c>
      <c r="E71" s="72">
        <v>1</v>
      </c>
      <c r="F71" s="74" t="s">
        <v>112</v>
      </c>
      <c r="G71" s="72" t="s">
        <v>49</v>
      </c>
      <c r="H71"/>
    </row>
    <row r="72" spans="1:8">
      <c r="A72" s="85" t="s">
        <v>390</v>
      </c>
      <c r="B72" s="72">
        <v>7.5</v>
      </c>
      <c r="C72" s="72">
        <v>0.12</v>
      </c>
      <c r="D72" s="72">
        <v>40</v>
      </c>
      <c r="E72" s="72">
        <v>1</v>
      </c>
      <c r="F72" s="72" t="s">
        <v>49</v>
      </c>
      <c r="G72" s="72" t="s">
        <v>49</v>
      </c>
      <c r="H72"/>
    </row>
    <row r="73" spans="1:8">
      <c r="A73" s="85" t="s">
        <v>391</v>
      </c>
      <c r="B73" s="72">
        <v>7.5</v>
      </c>
      <c r="C73" s="72">
        <v>0.06</v>
      </c>
      <c r="D73" s="72">
        <v>40</v>
      </c>
      <c r="E73" s="72">
        <v>1</v>
      </c>
      <c r="F73" s="74" t="s">
        <v>112</v>
      </c>
      <c r="G73" s="72" t="s">
        <v>49</v>
      </c>
      <c r="H73"/>
    </row>
    <row r="74" spans="1:8">
      <c r="A74" s="85" t="s">
        <v>392</v>
      </c>
      <c r="B74" s="72">
        <v>5</v>
      </c>
      <c r="C74" s="72">
        <v>0.06</v>
      </c>
      <c r="D74" s="72">
        <v>120</v>
      </c>
      <c r="E74" s="72">
        <v>1</v>
      </c>
      <c r="F74" s="74" t="s">
        <v>112</v>
      </c>
      <c r="G74" s="72" t="s">
        <v>49</v>
      </c>
      <c r="H74"/>
    </row>
    <row r="75" spans="1:8">
      <c r="A75" s="85" t="s">
        <v>393</v>
      </c>
      <c r="B75" s="72">
        <v>0</v>
      </c>
      <c r="C75" s="72">
        <v>0.06</v>
      </c>
      <c r="D75" s="72">
        <v>0</v>
      </c>
      <c r="E75" s="72">
        <v>1</v>
      </c>
      <c r="F75" s="74" t="s">
        <v>112</v>
      </c>
      <c r="G75" s="72" t="s">
        <v>112</v>
      </c>
      <c r="H75"/>
    </row>
    <row r="76" spans="1:8">
      <c r="A76" s="85" t="s">
        <v>394</v>
      </c>
      <c r="B76" s="72">
        <v>7.5</v>
      </c>
      <c r="C76" s="72">
        <v>0.06</v>
      </c>
      <c r="D76" s="72">
        <v>25</v>
      </c>
      <c r="E76" s="72">
        <v>2</v>
      </c>
      <c r="F76" s="74" t="s">
        <v>112</v>
      </c>
      <c r="G76" s="72" t="s">
        <v>49</v>
      </c>
      <c r="H76"/>
    </row>
    <row r="77" spans="1:8">
      <c r="A77" s="85" t="s">
        <v>395</v>
      </c>
      <c r="B77" s="72">
        <v>20</v>
      </c>
      <c r="C77" s="72">
        <v>0.12</v>
      </c>
      <c r="D77" s="72">
        <v>25</v>
      </c>
      <c r="E77" s="72">
        <v>2</v>
      </c>
      <c r="F77" s="72" t="s">
        <v>49</v>
      </c>
      <c r="G77" s="72" t="s">
        <v>49</v>
      </c>
      <c r="H77"/>
    </row>
    <row r="78" spans="1:8">
      <c r="A78" s="85" t="s">
        <v>396</v>
      </c>
      <c r="B78" s="72">
        <v>7.5</v>
      </c>
      <c r="C78" s="72">
        <v>0.12</v>
      </c>
      <c r="D78" s="72">
        <v>20</v>
      </c>
      <c r="E78" s="72">
        <v>2</v>
      </c>
      <c r="F78" s="72" t="s">
        <v>49</v>
      </c>
      <c r="G78" s="72" t="s">
        <v>49</v>
      </c>
      <c r="H78"/>
    </row>
    <row r="79" spans="1:8">
      <c r="A79" s="85" t="s">
        <v>397</v>
      </c>
      <c r="B79" s="72">
        <v>7.5</v>
      </c>
      <c r="C79" s="72">
        <v>0.06</v>
      </c>
      <c r="D79" s="72">
        <v>40</v>
      </c>
      <c r="E79" s="72">
        <v>1</v>
      </c>
      <c r="F79" s="74" t="s">
        <v>112</v>
      </c>
      <c r="G79" s="72" t="s">
        <v>49</v>
      </c>
      <c r="H79"/>
    </row>
    <row r="80" spans="1:8">
      <c r="A80" s="85" t="s">
        <v>398</v>
      </c>
      <c r="B80" s="72">
        <v>7.5</v>
      </c>
      <c r="C80" s="72">
        <v>0.18</v>
      </c>
      <c r="D80" s="72">
        <v>10</v>
      </c>
      <c r="E80" s="72">
        <v>2</v>
      </c>
      <c r="F80" s="72" t="s">
        <v>49</v>
      </c>
      <c r="G80" s="72" t="s">
        <v>49</v>
      </c>
      <c r="H80"/>
    </row>
    <row r="81" spans="1:8">
      <c r="A81" s="85" t="s">
        <v>399</v>
      </c>
      <c r="B81" s="72">
        <v>7.5</v>
      </c>
      <c r="C81" s="72">
        <v>0.12</v>
      </c>
      <c r="D81" s="72">
        <v>15</v>
      </c>
      <c r="E81" s="72">
        <v>2</v>
      </c>
      <c r="F81" s="72" t="s">
        <v>49</v>
      </c>
      <c r="G81" s="72" t="s">
        <v>49</v>
      </c>
      <c r="H81"/>
    </row>
    <row r="82" spans="1:8">
      <c r="A82" s="85" t="s">
        <v>400</v>
      </c>
      <c r="B82" s="72">
        <v>7.5</v>
      </c>
      <c r="C82" s="72">
        <v>0.06</v>
      </c>
      <c r="D82" s="72">
        <v>8</v>
      </c>
      <c r="E82" s="72">
        <v>1</v>
      </c>
      <c r="F82" s="74" t="s">
        <v>112</v>
      </c>
      <c r="G82" s="72" t="s">
        <v>49</v>
      </c>
      <c r="H82"/>
    </row>
    <row r="83" spans="1:8">
      <c r="A83" s="85" t="s">
        <v>401</v>
      </c>
      <c r="B83" s="72">
        <v>10</v>
      </c>
      <c r="C83" s="72">
        <v>0.12</v>
      </c>
      <c r="D83" s="72">
        <v>40</v>
      </c>
      <c r="E83" s="72">
        <v>1</v>
      </c>
      <c r="F83" s="72" t="s">
        <v>49</v>
      </c>
      <c r="G83" s="72" t="s">
        <v>49</v>
      </c>
      <c r="H83"/>
    </row>
    <row r="84" spans="1:8">
      <c r="A84" s="85" t="s">
        <v>402</v>
      </c>
      <c r="B84" s="72">
        <v>20</v>
      </c>
      <c r="C84" s="72">
        <v>0.06</v>
      </c>
      <c r="D84" s="72">
        <v>100</v>
      </c>
      <c r="E84" s="72">
        <v>2</v>
      </c>
      <c r="F84" s="74" t="s">
        <v>112</v>
      </c>
      <c r="G84" s="72" t="s">
        <v>49</v>
      </c>
      <c r="H84"/>
    </row>
    <row r="85" spans="1:8">
      <c r="A85" s="85" t="s">
        <v>403</v>
      </c>
      <c r="B85" s="72">
        <v>7.5</v>
      </c>
      <c r="C85" s="72">
        <v>0.18</v>
      </c>
      <c r="D85" s="72">
        <v>120</v>
      </c>
      <c r="E85" s="72">
        <v>1</v>
      </c>
      <c r="F85" s="72" t="s">
        <v>49</v>
      </c>
      <c r="G85" s="72" t="s">
        <v>49</v>
      </c>
      <c r="H85"/>
    </row>
    <row r="86" spans="1:8">
      <c r="A86" s="85" t="s">
        <v>404</v>
      </c>
      <c r="B86" s="72">
        <v>7.5</v>
      </c>
      <c r="C86" s="72">
        <v>0.18</v>
      </c>
      <c r="D86" s="72">
        <v>20</v>
      </c>
      <c r="E86" s="72">
        <v>1</v>
      </c>
      <c r="F86" s="72" t="s">
        <v>49</v>
      </c>
      <c r="G86" s="72" t="s">
        <v>49</v>
      </c>
      <c r="H86"/>
    </row>
    <row r="87" spans="1:8">
      <c r="A87" s="85" t="s">
        <v>405</v>
      </c>
      <c r="B87" s="72">
        <v>20</v>
      </c>
      <c r="C87" s="72">
        <v>0.18</v>
      </c>
      <c r="D87" s="72">
        <v>7</v>
      </c>
      <c r="E87" s="72">
        <v>2</v>
      </c>
      <c r="F87" s="72" t="s">
        <v>49</v>
      </c>
      <c r="G87" s="72" t="s">
        <v>49</v>
      </c>
      <c r="H87"/>
    </row>
    <row r="88" spans="1:8">
      <c r="A88" s="85" t="s">
        <v>406</v>
      </c>
      <c r="B88" s="72">
        <v>20</v>
      </c>
      <c r="C88" s="72">
        <v>0.06</v>
      </c>
      <c r="D88" s="72">
        <v>40</v>
      </c>
      <c r="E88" s="72">
        <v>2</v>
      </c>
      <c r="F88" s="72" t="s">
        <v>49</v>
      </c>
      <c r="G88" s="72" t="s">
        <v>49</v>
      </c>
      <c r="H88"/>
    </row>
    <row r="89" spans="1:8">
      <c r="A89" s="85" t="s">
        <v>407</v>
      </c>
      <c r="B89" s="72">
        <v>20</v>
      </c>
      <c r="C89" s="72">
        <v>0.06</v>
      </c>
      <c r="D89" s="72">
        <v>10</v>
      </c>
      <c r="E89" s="72">
        <v>2</v>
      </c>
      <c r="F89" s="72" t="s">
        <v>49</v>
      </c>
      <c r="G89" s="72" t="s">
        <v>49</v>
      </c>
      <c r="H89"/>
    </row>
    <row r="90" spans="1:8">
      <c r="A90" s="85" t="s">
        <v>408</v>
      </c>
      <c r="B90" s="72">
        <v>7.5</v>
      </c>
      <c r="C90" s="72">
        <v>0.06</v>
      </c>
      <c r="D90" s="72">
        <v>150</v>
      </c>
      <c r="E90" s="72">
        <v>1</v>
      </c>
      <c r="F90" s="74" t="s">
        <v>112</v>
      </c>
      <c r="G90" s="72" t="s">
        <v>49</v>
      </c>
      <c r="H90"/>
    </row>
    <row r="91" spans="1:8">
      <c r="A91" s="85" t="s">
        <v>409</v>
      </c>
      <c r="B91" s="72">
        <v>10</v>
      </c>
      <c r="C91" s="72">
        <v>0.06</v>
      </c>
      <c r="D91" s="72">
        <v>70</v>
      </c>
      <c r="E91" s="72">
        <v>1</v>
      </c>
      <c r="F91" s="74" t="s">
        <v>112</v>
      </c>
      <c r="G91" s="72" t="s">
        <v>49</v>
      </c>
      <c r="H91"/>
    </row>
    <row r="92" spans="1:8">
      <c r="A92" s="72" t="s">
        <v>48</v>
      </c>
      <c r="B92" s="72" t="s">
        <v>410</v>
      </c>
      <c r="C92" s="72" t="s">
        <v>410</v>
      </c>
      <c r="D92" s="72" t="s">
        <v>410</v>
      </c>
      <c r="E92" s="72" t="s">
        <v>410</v>
      </c>
      <c r="F92" s="72" t="s">
        <v>410</v>
      </c>
      <c r="G92" s="72" t="s">
        <v>410</v>
      </c>
      <c r="H92"/>
    </row>
    <row r="93" spans="1:8">
      <c r="A93" s="85" t="s">
        <v>411</v>
      </c>
      <c r="B93" s="72">
        <v>0</v>
      </c>
      <c r="C93" s="72">
        <v>0.48</v>
      </c>
      <c r="D93" s="72">
        <v>0</v>
      </c>
      <c r="E93" s="72">
        <v>2</v>
      </c>
      <c r="F93" s="72" t="s">
        <v>49</v>
      </c>
      <c r="G93" s="72" t="s">
        <v>49</v>
      </c>
    </row>
  </sheetData>
  <pageMargins left="0.7" right="0.7" top="0.75" bottom="0.75" header="0.3" footer="0.3"/>
  <pageSetup scale="22" fitToHeight="0" orientation="landscape" r:id="rId1"/>
  <tableParts count="5">
    <tablePart r:id="rId2"/>
    <tablePart r:id="rId3"/>
    <tablePart r:id="rId4"/>
    <tablePart r:id="rId5"/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31"/>
  <sheetViews>
    <sheetView showGridLines="0" topLeftCell="A112" zoomScale="115" zoomScaleNormal="115" zoomScaleSheetLayoutView="145" workbookViewId="0">
      <selection activeCell="B133" sqref="B133"/>
    </sheetView>
  </sheetViews>
  <sheetFormatPr defaultColWidth="9.109375" defaultRowHeight="10.199999999999999"/>
  <cols>
    <col min="1" max="1" width="34" style="1" bestFit="1" customWidth="1"/>
    <col min="2" max="2" width="24.109375" style="1" bestFit="1" customWidth="1"/>
    <col min="3" max="3" width="26.109375" style="1" bestFit="1" customWidth="1"/>
    <col min="4" max="4" width="21.44140625" style="1" bestFit="1" customWidth="1"/>
    <col min="5" max="5" width="22.33203125" style="1" bestFit="1" customWidth="1"/>
    <col min="6" max="6" width="24.88671875" style="1" bestFit="1" customWidth="1"/>
    <col min="7" max="7" width="17.6640625" style="1" bestFit="1" customWidth="1"/>
    <col min="8" max="8" width="16" style="1" bestFit="1" customWidth="1"/>
    <col min="9" max="9" width="15.33203125" style="1" bestFit="1" customWidth="1"/>
    <col min="10" max="10" width="6" style="1" bestFit="1" customWidth="1"/>
    <col min="11" max="12" width="9.109375" style="1"/>
    <col min="13" max="13" width="34" style="1" bestFit="1" customWidth="1"/>
    <col min="14" max="16384" width="9.109375" style="1"/>
  </cols>
  <sheetData>
    <row r="1" spans="1:13" ht="10.8">
      <c r="A1" s="53" t="s">
        <v>412</v>
      </c>
      <c r="B1" s="146" t="s">
        <v>413</v>
      </c>
      <c r="C1" s="147" t="s">
        <v>414</v>
      </c>
      <c r="D1" s="146" t="s">
        <v>415</v>
      </c>
      <c r="E1" s="146" t="s">
        <v>416</v>
      </c>
      <c r="F1" s="146" t="s">
        <v>417</v>
      </c>
      <c r="G1" s="54" t="s">
        <v>418</v>
      </c>
      <c r="H1" s="148" t="s">
        <v>419</v>
      </c>
      <c r="I1" s="55" t="s">
        <v>420</v>
      </c>
      <c r="J1" s="147" t="s">
        <v>421</v>
      </c>
      <c r="K1" s="12"/>
    </row>
    <row r="2" spans="1:13">
      <c r="A2" s="56" t="s">
        <v>422</v>
      </c>
      <c r="B2" s="57" t="s">
        <v>423</v>
      </c>
      <c r="C2" s="58" t="s">
        <v>424</v>
      </c>
      <c r="D2" s="59">
        <v>10</v>
      </c>
      <c r="E2" s="57" t="s">
        <v>425</v>
      </c>
      <c r="F2" s="57" t="s">
        <v>426</v>
      </c>
      <c r="G2" s="60" t="s">
        <v>424</v>
      </c>
      <c r="H2" s="149" t="s">
        <v>424</v>
      </c>
      <c r="I2" s="149" t="s">
        <v>424</v>
      </c>
      <c r="J2" s="61" t="s">
        <v>427</v>
      </c>
      <c r="K2" s="12"/>
      <c r="M2" s="12"/>
    </row>
    <row r="3" spans="1:13">
      <c r="A3" s="150" t="s">
        <v>428</v>
      </c>
      <c r="B3" s="151" t="s">
        <v>429</v>
      </c>
      <c r="C3" s="152">
        <v>2</v>
      </c>
      <c r="D3" s="153">
        <v>12</v>
      </c>
      <c r="E3" s="151" t="s">
        <v>425</v>
      </c>
      <c r="F3" s="151" t="s">
        <v>426</v>
      </c>
      <c r="G3" s="154" t="s">
        <v>430</v>
      </c>
      <c r="H3" s="149">
        <v>70</v>
      </c>
      <c r="I3" s="155">
        <v>75</v>
      </c>
      <c r="J3" s="149" t="s">
        <v>427</v>
      </c>
      <c r="K3" s="12"/>
      <c r="M3" s="12"/>
    </row>
    <row r="4" spans="1:13">
      <c r="A4" s="150" t="s">
        <v>431</v>
      </c>
      <c r="B4" s="151" t="s">
        <v>429</v>
      </c>
      <c r="C4" s="152">
        <v>2</v>
      </c>
      <c r="D4" s="153">
        <v>12</v>
      </c>
      <c r="E4" s="151" t="s">
        <v>425</v>
      </c>
      <c r="F4" s="151" t="s">
        <v>426</v>
      </c>
      <c r="G4" s="154" t="s">
        <v>424</v>
      </c>
      <c r="H4" s="149" t="s">
        <v>424</v>
      </c>
      <c r="I4" s="149" t="s">
        <v>424</v>
      </c>
      <c r="J4" s="149"/>
      <c r="K4" s="12"/>
      <c r="M4" s="12"/>
    </row>
    <row r="5" spans="1:13">
      <c r="A5" s="150" t="s">
        <v>432</v>
      </c>
      <c r="B5" s="151" t="s">
        <v>433</v>
      </c>
      <c r="C5" s="152">
        <v>3</v>
      </c>
      <c r="D5" s="153">
        <v>15</v>
      </c>
      <c r="E5" s="151" t="s">
        <v>424</v>
      </c>
      <c r="F5" s="151" t="s">
        <v>424</v>
      </c>
      <c r="G5" s="154" t="s">
        <v>430</v>
      </c>
      <c r="H5" s="149">
        <v>70</v>
      </c>
      <c r="I5" s="155">
        <v>75</v>
      </c>
      <c r="J5" s="62"/>
      <c r="K5" s="12"/>
      <c r="M5" s="12"/>
    </row>
    <row r="6" spans="1:13">
      <c r="A6" s="150" t="s">
        <v>69</v>
      </c>
      <c r="B6" s="151" t="s">
        <v>429</v>
      </c>
      <c r="C6" s="152" t="s">
        <v>424</v>
      </c>
      <c r="D6" s="153">
        <v>10</v>
      </c>
      <c r="E6" s="151" t="s">
        <v>425</v>
      </c>
      <c r="F6" s="151" t="s">
        <v>426</v>
      </c>
      <c r="G6" s="154" t="s">
        <v>424</v>
      </c>
      <c r="H6" s="149">
        <v>70</v>
      </c>
      <c r="I6" s="155">
        <v>75</v>
      </c>
      <c r="J6" s="62"/>
      <c r="K6" s="12"/>
      <c r="M6" s="12"/>
    </row>
    <row r="7" spans="1:13">
      <c r="A7" s="150" t="s">
        <v>434</v>
      </c>
      <c r="B7" s="151" t="s">
        <v>429</v>
      </c>
      <c r="C7" s="152" t="s">
        <v>424</v>
      </c>
      <c r="D7" s="153">
        <v>10</v>
      </c>
      <c r="E7" s="151" t="s">
        <v>425</v>
      </c>
      <c r="F7" s="151" t="s">
        <v>426</v>
      </c>
      <c r="G7" s="154" t="s">
        <v>424</v>
      </c>
      <c r="H7" s="149">
        <v>72</v>
      </c>
      <c r="I7" s="155">
        <v>78</v>
      </c>
      <c r="J7" s="156"/>
      <c r="K7" s="12"/>
      <c r="M7" s="12"/>
    </row>
    <row r="8" spans="1:13">
      <c r="A8" s="150" t="s">
        <v>435</v>
      </c>
      <c r="B8" s="151" t="s">
        <v>429</v>
      </c>
      <c r="C8" s="152" t="s">
        <v>424</v>
      </c>
      <c r="D8" s="153">
        <v>10</v>
      </c>
      <c r="E8" s="151" t="s">
        <v>425</v>
      </c>
      <c r="F8" s="151" t="s">
        <v>426</v>
      </c>
      <c r="G8" s="154" t="s">
        <v>424</v>
      </c>
      <c r="H8" s="149" t="s">
        <v>424</v>
      </c>
      <c r="I8" s="149" t="s">
        <v>424</v>
      </c>
      <c r="J8" s="62"/>
      <c r="K8" s="12"/>
      <c r="M8" s="12"/>
    </row>
    <row r="9" spans="1:13">
      <c r="A9" s="150" t="s">
        <v>71</v>
      </c>
      <c r="B9" s="151" t="s">
        <v>424</v>
      </c>
      <c r="C9" s="152">
        <v>2</v>
      </c>
      <c r="D9" s="153">
        <v>6</v>
      </c>
      <c r="E9" s="151" t="s">
        <v>424</v>
      </c>
      <c r="F9" s="151" t="s">
        <v>424</v>
      </c>
      <c r="G9" s="154" t="s">
        <v>424</v>
      </c>
      <c r="H9" s="149" t="s">
        <v>424</v>
      </c>
      <c r="I9" s="149" t="s">
        <v>424</v>
      </c>
      <c r="J9" s="150"/>
      <c r="K9" s="12"/>
      <c r="M9" s="12"/>
    </row>
    <row r="10" spans="1:13">
      <c r="A10" s="150" t="s">
        <v>436</v>
      </c>
      <c r="B10" s="151" t="s">
        <v>424</v>
      </c>
      <c r="C10" s="152">
        <v>2</v>
      </c>
      <c r="D10" s="153">
        <v>6</v>
      </c>
      <c r="E10" s="151" t="s">
        <v>424</v>
      </c>
      <c r="F10" s="151" t="s">
        <v>424</v>
      </c>
      <c r="G10" s="154" t="s">
        <v>424</v>
      </c>
      <c r="H10" s="149" t="s">
        <v>424</v>
      </c>
      <c r="I10" s="149" t="s">
        <v>424</v>
      </c>
      <c r="J10" s="150"/>
      <c r="M10" s="12"/>
    </row>
    <row r="11" spans="1:13">
      <c r="A11" s="150" t="s">
        <v>437</v>
      </c>
      <c r="B11" s="151" t="s">
        <v>429</v>
      </c>
      <c r="C11" s="152">
        <v>2</v>
      </c>
      <c r="D11" s="153">
        <v>12</v>
      </c>
      <c r="E11" s="151" t="s">
        <v>425</v>
      </c>
      <c r="F11" s="151" t="s">
        <v>426</v>
      </c>
      <c r="G11" s="154" t="s">
        <v>424</v>
      </c>
      <c r="H11" s="149">
        <v>68</v>
      </c>
      <c r="I11" s="155">
        <v>73</v>
      </c>
      <c r="J11" s="149" t="s">
        <v>438</v>
      </c>
      <c r="M11" s="12"/>
    </row>
    <row r="12" spans="1:13">
      <c r="A12" s="150" t="s">
        <v>439</v>
      </c>
      <c r="B12" s="151" t="s">
        <v>433</v>
      </c>
      <c r="C12" s="152">
        <v>3</v>
      </c>
      <c r="D12" s="153">
        <v>15</v>
      </c>
      <c r="E12" s="151" t="s">
        <v>424</v>
      </c>
      <c r="F12" s="151" t="s">
        <v>426</v>
      </c>
      <c r="G12" s="154" t="s">
        <v>430</v>
      </c>
      <c r="H12" s="149">
        <v>70</v>
      </c>
      <c r="I12" s="155">
        <v>75</v>
      </c>
      <c r="J12" s="150"/>
      <c r="M12" s="12"/>
    </row>
    <row r="13" spans="1:13">
      <c r="A13" s="150" t="s">
        <v>440</v>
      </c>
      <c r="B13" s="151" t="s">
        <v>433</v>
      </c>
      <c r="C13" s="152" t="s">
        <v>424</v>
      </c>
      <c r="D13" s="153">
        <v>2</v>
      </c>
      <c r="E13" s="151" t="s">
        <v>424</v>
      </c>
      <c r="F13" s="151" t="s">
        <v>424</v>
      </c>
      <c r="G13" s="154" t="s">
        <v>424</v>
      </c>
      <c r="H13" s="149">
        <v>72</v>
      </c>
      <c r="I13" s="155">
        <v>78</v>
      </c>
      <c r="J13" s="150"/>
      <c r="M13" s="12"/>
    </row>
    <row r="14" spans="1:13">
      <c r="A14" s="150" t="s">
        <v>441</v>
      </c>
      <c r="B14" s="151" t="s">
        <v>433</v>
      </c>
      <c r="C14" s="152">
        <v>2</v>
      </c>
      <c r="D14" s="153">
        <v>4</v>
      </c>
      <c r="E14" s="151" t="s">
        <v>424</v>
      </c>
      <c r="F14" s="151" t="s">
        <v>426</v>
      </c>
      <c r="G14" s="154" t="s">
        <v>430</v>
      </c>
      <c r="H14" s="149">
        <v>72</v>
      </c>
      <c r="I14" s="155">
        <v>78</v>
      </c>
      <c r="J14" s="150"/>
      <c r="M14" s="12"/>
    </row>
    <row r="15" spans="1:13">
      <c r="A15" s="150" t="s">
        <v>442</v>
      </c>
      <c r="B15" s="151" t="s">
        <v>433</v>
      </c>
      <c r="C15" s="152">
        <v>2</v>
      </c>
      <c r="D15" s="153">
        <v>4</v>
      </c>
      <c r="E15" s="151" t="s">
        <v>424</v>
      </c>
      <c r="F15" s="151" t="s">
        <v>424</v>
      </c>
      <c r="G15" s="154" t="s">
        <v>424</v>
      </c>
      <c r="H15" s="149" t="s">
        <v>424</v>
      </c>
      <c r="I15" s="149" t="s">
        <v>424</v>
      </c>
      <c r="J15" s="150"/>
      <c r="M15" s="12"/>
    </row>
    <row r="16" spans="1:13">
      <c r="A16" s="150" t="s">
        <v>443</v>
      </c>
      <c r="B16" s="151" t="s">
        <v>424</v>
      </c>
      <c r="C16" s="152">
        <v>2</v>
      </c>
      <c r="D16" s="153">
        <v>6</v>
      </c>
      <c r="E16" s="151" t="s">
        <v>424</v>
      </c>
      <c r="F16" s="151" t="s">
        <v>426</v>
      </c>
      <c r="G16" s="154" t="s">
        <v>444</v>
      </c>
      <c r="H16" s="149">
        <v>70</v>
      </c>
      <c r="I16" s="155">
        <v>75</v>
      </c>
      <c r="J16" s="150"/>
      <c r="M16" s="12"/>
    </row>
    <row r="17" spans="1:13">
      <c r="A17" s="150" t="s">
        <v>445</v>
      </c>
      <c r="B17" s="151" t="s">
        <v>424</v>
      </c>
      <c r="C17" s="152">
        <v>2</v>
      </c>
      <c r="D17" s="153">
        <v>6</v>
      </c>
      <c r="E17" s="151" t="s">
        <v>424</v>
      </c>
      <c r="F17" s="151" t="s">
        <v>424</v>
      </c>
      <c r="G17" s="154" t="s">
        <v>430</v>
      </c>
      <c r="H17" s="149" t="s">
        <v>424</v>
      </c>
      <c r="I17" s="149" t="s">
        <v>424</v>
      </c>
      <c r="J17" s="149"/>
      <c r="M17" s="12"/>
    </row>
    <row r="18" spans="1:13">
      <c r="A18" s="150" t="s">
        <v>446</v>
      </c>
      <c r="B18" s="151" t="s">
        <v>429</v>
      </c>
      <c r="C18" s="152">
        <v>2</v>
      </c>
      <c r="D18" s="153">
        <v>10</v>
      </c>
      <c r="E18" s="151" t="s">
        <v>425</v>
      </c>
      <c r="F18" s="151" t="s">
        <v>426</v>
      </c>
      <c r="G18" s="154" t="s">
        <v>424</v>
      </c>
      <c r="H18" s="149" t="s">
        <v>424</v>
      </c>
      <c r="I18" s="149" t="s">
        <v>424</v>
      </c>
      <c r="J18" s="149" t="s">
        <v>447</v>
      </c>
      <c r="M18" s="12"/>
    </row>
    <row r="19" spans="1:13">
      <c r="A19" s="150" t="s">
        <v>448</v>
      </c>
      <c r="B19" s="151" t="s">
        <v>433</v>
      </c>
      <c r="C19" s="152">
        <v>4</v>
      </c>
      <c r="D19" s="153">
        <v>20</v>
      </c>
      <c r="E19" s="151" t="s">
        <v>424</v>
      </c>
      <c r="F19" s="151" t="s">
        <v>426</v>
      </c>
      <c r="G19" s="154" t="s">
        <v>449</v>
      </c>
      <c r="H19" s="149">
        <v>68</v>
      </c>
      <c r="I19" s="155">
        <v>75</v>
      </c>
      <c r="J19" s="149" t="s">
        <v>450</v>
      </c>
      <c r="M19" s="12"/>
    </row>
    <row r="20" spans="1:13">
      <c r="A20" s="150" t="s">
        <v>451</v>
      </c>
      <c r="B20" s="151" t="s">
        <v>424</v>
      </c>
      <c r="C20" s="152">
        <v>2</v>
      </c>
      <c r="D20" s="153">
        <v>6</v>
      </c>
      <c r="E20" s="151" t="s">
        <v>424</v>
      </c>
      <c r="F20" s="151" t="s">
        <v>424</v>
      </c>
      <c r="G20" s="154" t="s">
        <v>424</v>
      </c>
      <c r="H20" s="149">
        <v>72</v>
      </c>
      <c r="I20" s="155">
        <v>78</v>
      </c>
      <c r="J20" s="149"/>
      <c r="M20" s="12"/>
    </row>
    <row r="21" spans="1:13">
      <c r="A21" s="150" t="s">
        <v>452</v>
      </c>
      <c r="B21" s="151" t="s">
        <v>429</v>
      </c>
      <c r="C21" s="152" t="s">
        <v>424</v>
      </c>
      <c r="D21" s="153">
        <v>10</v>
      </c>
      <c r="E21" s="151" t="s">
        <v>425</v>
      </c>
      <c r="F21" s="151" t="s">
        <v>426</v>
      </c>
      <c r="G21" s="154" t="s">
        <v>424</v>
      </c>
      <c r="H21" s="149" t="s">
        <v>424</v>
      </c>
      <c r="I21" s="149" t="s">
        <v>424</v>
      </c>
      <c r="J21" s="149"/>
      <c r="M21" s="12"/>
    </row>
    <row r="22" spans="1:13">
      <c r="A22" s="150" t="s">
        <v>453</v>
      </c>
      <c r="B22" s="151" t="s">
        <v>424</v>
      </c>
      <c r="C22" s="152" t="s">
        <v>424</v>
      </c>
      <c r="D22" s="153">
        <v>2</v>
      </c>
      <c r="E22" s="151" t="s">
        <v>424</v>
      </c>
      <c r="F22" s="151" t="s">
        <v>426</v>
      </c>
      <c r="G22" s="154" t="s">
        <v>424</v>
      </c>
      <c r="H22" s="149">
        <v>72</v>
      </c>
      <c r="I22" s="155">
        <v>78</v>
      </c>
      <c r="J22" s="149"/>
      <c r="M22" s="12"/>
    </row>
    <row r="23" spans="1:13">
      <c r="A23" s="150" t="s">
        <v>454</v>
      </c>
      <c r="B23" s="151" t="s">
        <v>455</v>
      </c>
      <c r="C23" s="152">
        <v>3</v>
      </c>
      <c r="D23" s="153">
        <v>15</v>
      </c>
      <c r="E23" s="151" t="s">
        <v>424</v>
      </c>
      <c r="F23" s="151" t="s">
        <v>424</v>
      </c>
      <c r="G23" s="154" t="s">
        <v>424</v>
      </c>
      <c r="H23" s="149" t="s">
        <v>424</v>
      </c>
      <c r="I23" s="149" t="s">
        <v>424</v>
      </c>
      <c r="J23" s="149"/>
      <c r="M23" s="12"/>
    </row>
    <row r="24" spans="1:13">
      <c r="A24" s="150" t="s">
        <v>456</v>
      </c>
      <c r="B24" s="151" t="s">
        <v>424</v>
      </c>
      <c r="C24" s="152">
        <v>2</v>
      </c>
      <c r="D24" s="153">
        <v>6</v>
      </c>
      <c r="E24" s="151" t="s">
        <v>424</v>
      </c>
      <c r="F24" s="151" t="s">
        <v>424</v>
      </c>
      <c r="G24" s="154" t="s">
        <v>430</v>
      </c>
      <c r="H24" s="149">
        <v>70</v>
      </c>
      <c r="I24" s="155">
        <v>75</v>
      </c>
      <c r="J24" s="149" t="s">
        <v>455</v>
      </c>
      <c r="M24" s="12"/>
    </row>
    <row r="25" spans="1:13">
      <c r="A25" s="150" t="s">
        <v>457</v>
      </c>
      <c r="B25" s="151" t="s">
        <v>429</v>
      </c>
      <c r="C25" s="152">
        <v>2</v>
      </c>
      <c r="D25" s="153">
        <v>10</v>
      </c>
      <c r="E25" s="151" t="s">
        <v>425</v>
      </c>
      <c r="F25" s="151" t="s">
        <v>426</v>
      </c>
      <c r="G25" s="154" t="s">
        <v>424</v>
      </c>
      <c r="H25" s="149" t="s">
        <v>424</v>
      </c>
      <c r="I25" s="149" t="s">
        <v>424</v>
      </c>
      <c r="J25" s="149"/>
      <c r="M25" s="12"/>
    </row>
    <row r="26" spans="1:13">
      <c r="A26" s="150" t="s">
        <v>458</v>
      </c>
      <c r="B26" s="151" t="s">
        <v>429</v>
      </c>
      <c r="C26" s="152">
        <v>2</v>
      </c>
      <c r="D26" s="153">
        <v>12</v>
      </c>
      <c r="E26" s="151" t="s">
        <v>425</v>
      </c>
      <c r="F26" s="151" t="s">
        <v>426</v>
      </c>
      <c r="G26" s="154" t="s">
        <v>424</v>
      </c>
      <c r="H26" s="149" t="s">
        <v>424</v>
      </c>
      <c r="I26" s="149" t="s">
        <v>424</v>
      </c>
      <c r="J26" s="149"/>
      <c r="M26" s="12"/>
    </row>
    <row r="27" spans="1:13">
      <c r="A27" s="150" t="s">
        <v>459</v>
      </c>
      <c r="B27" s="151" t="s">
        <v>429</v>
      </c>
      <c r="C27" s="152">
        <v>2</v>
      </c>
      <c r="D27" s="153">
        <v>12</v>
      </c>
      <c r="E27" s="151" t="s">
        <v>425</v>
      </c>
      <c r="F27" s="151" t="s">
        <v>424</v>
      </c>
      <c r="G27" s="154" t="s">
        <v>460</v>
      </c>
      <c r="H27" s="149">
        <v>70</v>
      </c>
      <c r="I27" s="155">
        <v>75</v>
      </c>
      <c r="J27" s="149" t="s">
        <v>461</v>
      </c>
      <c r="M27" s="12"/>
    </row>
    <row r="28" spans="1:13">
      <c r="A28" s="150" t="s">
        <v>462</v>
      </c>
      <c r="B28" s="151" t="s">
        <v>424</v>
      </c>
      <c r="C28" s="152">
        <v>2</v>
      </c>
      <c r="D28" s="153">
        <v>6</v>
      </c>
      <c r="E28" s="151" t="s">
        <v>424</v>
      </c>
      <c r="F28" s="151" t="s">
        <v>424</v>
      </c>
      <c r="G28" s="154" t="s">
        <v>430</v>
      </c>
      <c r="H28" s="149">
        <v>70</v>
      </c>
      <c r="I28" s="155">
        <v>75</v>
      </c>
      <c r="J28" s="149"/>
      <c r="M28" s="12"/>
    </row>
    <row r="29" spans="1:13">
      <c r="A29" s="150" t="s">
        <v>73</v>
      </c>
      <c r="B29" s="151" t="s">
        <v>424</v>
      </c>
      <c r="C29" s="152">
        <v>2</v>
      </c>
      <c r="D29" s="153">
        <v>6</v>
      </c>
      <c r="E29" s="151" t="s">
        <v>424</v>
      </c>
      <c r="F29" s="151" t="s">
        <v>424</v>
      </c>
      <c r="G29" s="154" t="s">
        <v>424</v>
      </c>
      <c r="H29" s="149" t="s">
        <v>424</v>
      </c>
      <c r="I29" s="149" t="s">
        <v>424</v>
      </c>
      <c r="J29" s="149"/>
      <c r="M29" s="12"/>
    </row>
    <row r="30" spans="1:13">
      <c r="A30" s="150" t="s">
        <v>463</v>
      </c>
      <c r="B30" s="151" t="s">
        <v>429</v>
      </c>
      <c r="C30" s="152">
        <v>2</v>
      </c>
      <c r="D30" s="153">
        <v>6</v>
      </c>
      <c r="E30" s="151" t="s">
        <v>425</v>
      </c>
      <c r="F30" s="151" t="s">
        <v>426</v>
      </c>
      <c r="G30" s="154" t="s">
        <v>424</v>
      </c>
      <c r="H30" s="149" t="s">
        <v>424</v>
      </c>
      <c r="I30" s="149" t="s">
        <v>424</v>
      </c>
      <c r="J30" s="149"/>
      <c r="M30" s="12"/>
    </row>
    <row r="31" spans="1:13">
      <c r="A31" s="150" t="s">
        <v>464</v>
      </c>
      <c r="B31" s="151" t="s">
        <v>424</v>
      </c>
      <c r="C31" s="152">
        <v>2</v>
      </c>
      <c r="D31" s="153">
        <v>10</v>
      </c>
      <c r="E31" s="151" t="s">
        <v>424</v>
      </c>
      <c r="F31" s="151" t="s">
        <v>426</v>
      </c>
      <c r="G31" s="154" t="s">
        <v>424</v>
      </c>
      <c r="H31" s="149">
        <v>72</v>
      </c>
      <c r="I31" s="155">
        <v>78</v>
      </c>
      <c r="J31" s="149" t="s">
        <v>465</v>
      </c>
      <c r="M31" s="12"/>
    </row>
    <row r="32" spans="1:13">
      <c r="A32" s="150" t="s">
        <v>466</v>
      </c>
      <c r="B32" s="151" t="s">
        <v>424</v>
      </c>
      <c r="C32" s="152">
        <v>2</v>
      </c>
      <c r="D32" s="153">
        <v>6</v>
      </c>
      <c r="E32" s="151" t="s">
        <v>424</v>
      </c>
      <c r="F32" s="151" t="s">
        <v>426</v>
      </c>
      <c r="G32" s="154" t="s">
        <v>449</v>
      </c>
      <c r="H32" s="149">
        <v>68</v>
      </c>
      <c r="I32" s="155">
        <v>73</v>
      </c>
      <c r="J32" s="149" t="s">
        <v>467</v>
      </c>
      <c r="M32" s="12"/>
    </row>
    <row r="33" spans="1:13">
      <c r="A33" s="150" t="s">
        <v>468</v>
      </c>
      <c r="B33" s="151" t="s">
        <v>429</v>
      </c>
      <c r="C33" s="152">
        <v>2</v>
      </c>
      <c r="D33" s="153">
        <v>10</v>
      </c>
      <c r="E33" s="151" t="s">
        <v>425</v>
      </c>
      <c r="F33" s="151" t="s">
        <v>426</v>
      </c>
      <c r="G33" s="154" t="s">
        <v>424</v>
      </c>
      <c r="H33" s="149" t="s">
        <v>424</v>
      </c>
      <c r="I33" s="149" t="s">
        <v>424</v>
      </c>
      <c r="J33" s="149"/>
      <c r="M33" s="12"/>
    </row>
    <row r="34" spans="1:13">
      <c r="A34" s="150" t="s">
        <v>469</v>
      </c>
      <c r="B34" s="151" t="s">
        <v>429</v>
      </c>
      <c r="C34" s="152">
        <v>2</v>
      </c>
      <c r="D34" s="153">
        <v>6</v>
      </c>
      <c r="E34" s="151" t="s">
        <v>424</v>
      </c>
      <c r="F34" s="151" t="s">
        <v>424</v>
      </c>
      <c r="G34" s="154" t="s">
        <v>424</v>
      </c>
      <c r="H34" s="149">
        <v>72</v>
      </c>
      <c r="I34" s="155">
        <v>80</v>
      </c>
      <c r="J34" s="149"/>
      <c r="M34" s="12"/>
    </row>
    <row r="35" spans="1:13">
      <c r="A35" s="150" t="s">
        <v>470</v>
      </c>
      <c r="B35" s="151" t="s">
        <v>433</v>
      </c>
      <c r="C35" s="152">
        <v>2</v>
      </c>
      <c r="D35" s="153">
        <v>6</v>
      </c>
      <c r="E35" s="151" t="s">
        <v>424</v>
      </c>
      <c r="F35" s="151" t="s">
        <v>424</v>
      </c>
      <c r="G35" s="154" t="s">
        <v>424</v>
      </c>
      <c r="H35" s="149" t="s">
        <v>424</v>
      </c>
      <c r="I35" s="149" t="s">
        <v>424</v>
      </c>
      <c r="J35" s="149"/>
      <c r="M35" s="12"/>
    </row>
    <row r="36" spans="1:13">
      <c r="A36" s="150" t="s">
        <v>471</v>
      </c>
      <c r="B36" s="151" t="s">
        <v>424</v>
      </c>
      <c r="C36" s="152">
        <v>2</v>
      </c>
      <c r="D36" s="153">
        <v>6</v>
      </c>
      <c r="E36" s="151" t="s">
        <v>424</v>
      </c>
      <c r="F36" s="151" t="s">
        <v>424</v>
      </c>
      <c r="G36" s="154" t="s">
        <v>430</v>
      </c>
      <c r="H36" s="149">
        <v>70</v>
      </c>
      <c r="I36" s="155">
        <v>75</v>
      </c>
      <c r="J36" s="149" t="s">
        <v>472</v>
      </c>
      <c r="M36" s="12"/>
    </row>
    <row r="37" spans="1:13">
      <c r="A37" s="150" t="s">
        <v>473</v>
      </c>
      <c r="B37" s="151" t="s">
        <v>433</v>
      </c>
      <c r="C37" s="152">
        <v>5</v>
      </c>
      <c r="D37" s="153">
        <v>15</v>
      </c>
      <c r="E37" s="151" t="s">
        <v>424</v>
      </c>
      <c r="F37" s="151" t="s">
        <v>424</v>
      </c>
      <c r="G37" s="154" t="s">
        <v>424</v>
      </c>
      <c r="H37" s="149" t="s">
        <v>424</v>
      </c>
      <c r="I37" s="149" t="s">
        <v>424</v>
      </c>
      <c r="J37" s="149"/>
      <c r="M37" s="12"/>
    </row>
    <row r="38" spans="1:13">
      <c r="A38" s="150" t="s">
        <v>474</v>
      </c>
      <c r="B38" s="151" t="s">
        <v>433</v>
      </c>
      <c r="C38" s="152">
        <v>2</v>
      </c>
      <c r="D38" s="153">
        <v>6</v>
      </c>
      <c r="E38" s="151" t="s">
        <v>424</v>
      </c>
      <c r="F38" s="151" t="s">
        <v>424</v>
      </c>
      <c r="G38" s="154" t="s">
        <v>424</v>
      </c>
      <c r="H38" s="149" t="s">
        <v>424</v>
      </c>
      <c r="I38" s="149" t="s">
        <v>424</v>
      </c>
      <c r="J38" s="149"/>
      <c r="M38" s="12"/>
    </row>
    <row r="39" spans="1:13">
      <c r="A39" s="150" t="s">
        <v>475</v>
      </c>
      <c r="B39" s="151" t="s">
        <v>429</v>
      </c>
      <c r="C39" s="152" t="s">
        <v>424</v>
      </c>
      <c r="D39" s="153">
        <v>10</v>
      </c>
      <c r="E39" s="151" t="s">
        <v>425</v>
      </c>
      <c r="F39" s="151" t="s">
        <v>426</v>
      </c>
      <c r="G39" s="154" t="s">
        <v>424</v>
      </c>
      <c r="H39" s="149" t="s">
        <v>424</v>
      </c>
      <c r="I39" s="149" t="s">
        <v>424</v>
      </c>
      <c r="J39" s="149"/>
      <c r="M39" s="12"/>
    </row>
    <row r="40" spans="1:13">
      <c r="A40" s="150" t="s">
        <v>476</v>
      </c>
      <c r="B40" s="151" t="s">
        <v>424</v>
      </c>
      <c r="C40" s="152">
        <v>2</v>
      </c>
      <c r="D40" s="153">
        <v>6</v>
      </c>
      <c r="E40" s="151" t="s">
        <v>424</v>
      </c>
      <c r="F40" s="151" t="s">
        <v>424</v>
      </c>
      <c r="G40" s="154" t="s">
        <v>430</v>
      </c>
      <c r="H40" s="149">
        <v>70</v>
      </c>
      <c r="I40" s="155">
        <v>75</v>
      </c>
      <c r="J40" s="149" t="s">
        <v>472</v>
      </c>
      <c r="M40" s="12"/>
    </row>
    <row r="41" spans="1:13">
      <c r="A41" s="150" t="s">
        <v>477</v>
      </c>
      <c r="B41" s="151" t="s">
        <v>424</v>
      </c>
      <c r="C41" s="152">
        <v>2</v>
      </c>
      <c r="D41" s="153">
        <v>6</v>
      </c>
      <c r="E41" s="151" t="s">
        <v>424</v>
      </c>
      <c r="F41" s="151" t="s">
        <v>424</v>
      </c>
      <c r="G41" s="154" t="s">
        <v>430</v>
      </c>
      <c r="H41" s="149">
        <v>70</v>
      </c>
      <c r="I41" s="155">
        <v>75</v>
      </c>
      <c r="J41" s="149" t="s">
        <v>472</v>
      </c>
      <c r="M41" s="12"/>
    </row>
    <row r="42" spans="1:13">
      <c r="A42" s="150" t="s">
        <v>478</v>
      </c>
      <c r="B42" s="151" t="s">
        <v>429</v>
      </c>
      <c r="C42" s="152">
        <v>2</v>
      </c>
      <c r="D42" s="153">
        <v>6</v>
      </c>
      <c r="E42" s="151" t="s">
        <v>425</v>
      </c>
      <c r="F42" s="151" t="s">
        <v>424</v>
      </c>
      <c r="G42" s="154" t="s">
        <v>424</v>
      </c>
      <c r="H42" s="149">
        <v>70</v>
      </c>
      <c r="I42" s="155">
        <v>75</v>
      </c>
      <c r="J42" s="149" t="s">
        <v>479</v>
      </c>
      <c r="M42" s="12"/>
    </row>
    <row r="43" spans="1:13">
      <c r="A43" s="150" t="s">
        <v>480</v>
      </c>
      <c r="B43" s="151" t="s">
        <v>429</v>
      </c>
      <c r="C43" s="152">
        <v>2</v>
      </c>
      <c r="D43" s="153">
        <v>6</v>
      </c>
      <c r="E43" s="151" t="s">
        <v>425</v>
      </c>
      <c r="F43" s="151" t="s">
        <v>424</v>
      </c>
      <c r="G43" s="154" t="s">
        <v>424</v>
      </c>
      <c r="H43" s="149">
        <v>70</v>
      </c>
      <c r="I43" s="155">
        <v>75</v>
      </c>
      <c r="J43" s="149" t="s">
        <v>479</v>
      </c>
      <c r="M43" s="12"/>
    </row>
    <row r="44" spans="1:13">
      <c r="A44" s="150" t="s">
        <v>481</v>
      </c>
      <c r="B44" s="151" t="s">
        <v>429</v>
      </c>
      <c r="C44" s="152">
        <v>2</v>
      </c>
      <c r="D44" s="153">
        <v>6</v>
      </c>
      <c r="E44" s="151" t="s">
        <v>425</v>
      </c>
      <c r="F44" s="151" t="s">
        <v>424</v>
      </c>
      <c r="G44" s="154" t="s">
        <v>424</v>
      </c>
      <c r="H44" s="149">
        <v>70</v>
      </c>
      <c r="I44" s="155">
        <v>75</v>
      </c>
      <c r="J44" s="149" t="s">
        <v>479</v>
      </c>
      <c r="M44" s="12"/>
    </row>
    <row r="45" spans="1:13">
      <c r="A45" s="150" t="s">
        <v>482</v>
      </c>
      <c r="B45" s="151" t="s">
        <v>429</v>
      </c>
      <c r="C45" s="152">
        <v>2</v>
      </c>
      <c r="D45" s="153">
        <v>6</v>
      </c>
      <c r="E45" s="151" t="s">
        <v>424</v>
      </c>
      <c r="F45" s="151" t="s">
        <v>424</v>
      </c>
      <c r="G45" s="154" t="s">
        <v>424</v>
      </c>
      <c r="H45" s="149">
        <v>70</v>
      </c>
      <c r="I45" s="155">
        <v>75</v>
      </c>
      <c r="J45" s="149" t="s">
        <v>479</v>
      </c>
      <c r="M45" s="12"/>
    </row>
    <row r="46" spans="1:13">
      <c r="A46" s="150" t="s">
        <v>483</v>
      </c>
      <c r="B46" s="151" t="s">
        <v>429</v>
      </c>
      <c r="C46" s="152">
        <v>2</v>
      </c>
      <c r="D46" s="153">
        <v>10</v>
      </c>
      <c r="E46" s="151" t="s">
        <v>425</v>
      </c>
      <c r="F46" s="151" t="s">
        <v>424</v>
      </c>
      <c r="G46" s="154" t="s">
        <v>424</v>
      </c>
      <c r="H46" s="149" t="s">
        <v>424</v>
      </c>
      <c r="I46" s="149" t="s">
        <v>424</v>
      </c>
      <c r="J46" s="149" t="s">
        <v>479</v>
      </c>
      <c r="M46" s="12"/>
    </row>
    <row r="47" spans="1:13">
      <c r="A47" s="150" t="s">
        <v>484</v>
      </c>
      <c r="B47" s="151" t="s">
        <v>429</v>
      </c>
      <c r="C47" s="152">
        <v>2</v>
      </c>
      <c r="D47" s="153">
        <v>6</v>
      </c>
      <c r="E47" s="151" t="s">
        <v>425</v>
      </c>
      <c r="F47" s="151" t="s">
        <v>424</v>
      </c>
      <c r="G47" s="154" t="s">
        <v>424</v>
      </c>
      <c r="H47" s="149">
        <v>70</v>
      </c>
      <c r="I47" s="155">
        <v>75</v>
      </c>
      <c r="J47" s="149" t="s">
        <v>479</v>
      </c>
      <c r="M47" s="12"/>
    </row>
    <row r="48" spans="1:13">
      <c r="A48" s="157" t="s">
        <v>485</v>
      </c>
      <c r="B48" s="158" t="s">
        <v>429</v>
      </c>
      <c r="C48" s="152">
        <v>2</v>
      </c>
      <c r="D48" s="153">
        <v>6</v>
      </c>
      <c r="E48" s="158" t="s">
        <v>425</v>
      </c>
      <c r="F48" s="158" t="s">
        <v>424</v>
      </c>
      <c r="G48" s="154" t="s">
        <v>424</v>
      </c>
      <c r="H48" s="159">
        <v>70</v>
      </c>
      <c r="I48" s="155">
        <v>75</v>
      </c>
      <c r="J48" s="159"/>
      <c r="M48" s="12"/>
    </row>
    <row r="49" spans="1:13">
      <c r="A49" s="160" t="s">
        <v>486</v>
      </c>
      <c r="B49" s="161" t="s">
        <v>433</v>
      </c>
      <c r="C49" s="152">
        <v>2</v>
      </c>
      <c r="D49" s="153">
        <v>4</v>
      </c>
      <c r="E49" s="161" t="s">
        <v>424</v>
      </c>
      <c r="F49" s="161" t="s">
        <v>424</v>
      </c>
      <c r="G49" s="154" t="s">
        <v>424</v>
      </c>
      <c r="H49" s="162">
        <v>70</v>
      </c>
      <c r="I49" s="155">
        <v>75</v>
      </c>
      <c r="J49" s="162" t="s">
        <v>479</v>
      </c>
      <c r="M49" s="12"/>
    </row>
    <row r="50" spans="1:13">
      <c r="A50" s="163" t="s">
        <v>487</v>
      </c>
      <c r="B50" s="164" t="s">
        <v>429</v>
      </c>
      <c r="C50" s="152">
        <v>2</v>
      </c>
      <c r="D50" s="153">
        <v>6</v>
      </c>
      <c r="E50" s="164" t="s">
        <v>425</v>
      </c>
      <c r="F50" s="164" t="s">
        <v>424</v>
      </c>
      <c r="G50" s="154" t="s">
        <v>424</v>
      </c>
      <c r="H50" s="165">
        <v>70</v>
      </c>
      <c r="I50" s="155">
        <v>75</v>
      </c>
      <c r="J50" s="165" t="s">
        <v>479</v>
      </c>
      <c r="M50" s="12"/>
    </row>
    <row r="51" spans="1:13">
      <c r="A51" s="166" t="s">
        <v>488</v>
      </c>
      <c r="B51" s="167" t="s">
        <v>429</v>
      </c>
      <c r="C51" s="152">
        <v>2</v>
      </c>
      <c r="D51" s="153">
        <v>6</v>
      </c>
      <c r="E51" s="167" t="s">
        <v>425</v>
      </c>
      <c r="F51" s="167" t="s">
        <v>424</v>
      </c>
      <c r="G51" s="154" t="s">
        <v>424</v>
      </c>
      <c r="H51" s="168">
        <v>70</v>
      </c>
      <c r="I51" s="155">
        <v>75</v>
      </c>
      <c r="J51" s="168" t="s">
        <v>479</v>
      </c>
      <c r="M51" s="12"/>
    </row>
    <row r="52" spans="1:13">
      <c r="A52" s="169" t="s">
        <v>489</v>
      </c>
      <c r="B52" s="170" t="s">
        <v>429</v>
      </c>
      <c r="C52" s="152">
        <v>2</v>
      </c>
      <c r="D52" s="153">
        <v>6</v>
      </c>
      <c r="E52" s="170" t="s">
        <v>425</v>
      </c>
      <c r="F52" s="170" t="s">
        <v>424</v>
      </c>
      <c r="G52" s="154" t="s">
        <v>424</v>
      </c>
      <c r="H52" s="171">
        <v>70</v>
      </c>
      <c r="I52" s="155">
        <v>75</v>
      </c>
      <c r="J52" s="171" t="s">
        <v>479</v>
      </c>
      <c r="M52" s="12"/>
    </row>
    <row r="53" spans="1:13">
      <c r="A53" s="172" t="s">
        <v>490</v>
      </c>
      <c r="B53" s="173" t="s">
        <v>429</v>
      </c>
      <c r="C53" s="152">
        <v>2</v>
      </c>
      <c r="D53" s="153">
        <v>6</v>
      </c>
      <c r="E53" s="173" t="s">
        <v>425</v>
      </c>
      <c r="F53" s="173" t="s">
        <v>424</v>
      </c>
      <c r="G53" s="154" t="s">
        <v>424</v>
      </c>
      <c r="H53" s="174">
        <v>70</v>
      </c>
      <c r="I53" s="155">
        <v>75</v>
      </c>
      <c r="J53" s="174" t="s">
        <v>479</v>
      </c>
      <c r="M53" s="12"/>
    </row>
    <row r="54" spans="1:13">
      <c r="A54" s="175" t="s">
        <v>491</v>
      </c>
      <c r="B54" s="176" t="s">
        <v>429</v>
      </c>
      <c r="C54" s="152">
        <v>2</v>
      </c>
      <c r="D54" s="153">
        <v>10</v>
      </c>
      <c r="E54" s="176" t="s">
        <v>425</v>
      </c>
      <c r="F54" s="176" t="s">
        <v>424</v>
      </c>
      <c r="G54" s="154" t="s">
        <v>424</v>
      </c>
      <c r="H54" s="177">
        <v>70</v>
      </c>
      <c r="I54" s="155">
        <v>75</v>
      </c>
      <c r="J54" s="177"/>
      <c r="M54" s="12"/>
    </row>
    <row r="55" spans="1:13">
      <c r="A55" s="178" t="s">
        <v>492</v>
      </c>
      <c r="B55" s="179" t="s">
        <v>424</v>
      </c>
      <c r="C55" s="152">
        <v>2</v>
      </c>
      <c r="D55" s="153">
        <v>6</v>
      </c>
      <c r="E55" s="179" t="s">
        <v>424</v>
      </c>
      <c r="F55" s="179" t="s">
        <v>424</v>
      </c>
      <c r="G55" s="154" t="s">
        <v>424</v>
      </c>
      <c r="H55" s="180" t="s">
        <v>424</v>
      </c>
      <c r="I55" s="180" t="s">
        <v>424</v>
      </c>
      <c r="J55" s="180"/>
      <c r="M55" s="12"/>
    </row>
    <row r="56" spans="1:13">
      <c r="A56" s="181" t="s">
        <v>493</v>
      </c>
      <c r="B56" s="179" t="s">
        <v>433</v>
      </c>
      <c r="C56" s="152">
        <v>3</v>
      </c>
      <c r="D56" s="153">
        <v>15</v>
      </c>
      <c r="E56" s="179" t="s">
        <v>424</v>
      </c>
      <c r="F56" s="179" t="s">
        <v>426</v>
      </c>
      <c r="G56" s="154" t="s">
        <v>449</v>
      </c>
      <c r="H56" s="180">
        <v>70</v>
      </c>
      <c r="I56" s="155">
        <v>75</v>
      </c>
      <c r="J56" s="180"/>
      <c r="M56" s="12"/>
    </row>
    <row r="57" spans="1:13">
      <c r="A57" s="181" t="s">
        <v>47</v>
      </c>
      <c r="B57" s="179" t="s">
        <v>429</v>
      </c>
      <c r="C57" s="152">
        <v>2</v>
      </c>
      <c r="D57" s="153">
        <v>10</v>
      </c>
      <c r="E57" s="179" t="s">
        <v>425</v>
      </c>
      <c r="F57" s="179" t="s">
        <v>426</v>
      </c>
      <c r="G57" s="154" t="s">
        <v>424</v>
      </c>
      <c r="H57" s="180" t="s">
        <v>424</v>
      </c>
      <c r="I57" s="180" t="s">
        <v>424</v>
      </c>
      <c r="J57" s="180"/>
      <c r="M57" s="12"/>
    </row>
    <row r="58" spans="1:13">
      <c r="A58" s="181" t="s">
        <v>494</v>
      </c>
      <c r="B58" s="179" t="s">
        <v>429</v>
      </c>
      <c r="C58" s="152" t="s">
        <v>424</v>
      </c>
      <c r="D58" s="153">
        <v>10</v>
      </c>
      <c r="E58" s="179" t="s">
        <v>425</v>
      </c>
      <c r="F58" s="179" t="s">
        <v>426</v>
      </c>
      <c r="G58" s="154" t="s">
        <v>424</v>
      </c>
      <c r="H58" s="180" t="s">
        <v>424</v>
      </c>
      <c r="I58" s="180" t="s">
        <v>424</v>
      </c>
      <c r="J58" s="180"/>
      <c r="M58" s="12"/>
    </row>
    <row r="59" spans="1:13">
      <c r="A59" s="181" t="s">
        <v>495</v>
      </c>
      <c r="B59" s="179" t="s">
        <v>429</v>
      </c>
      <c r="C59" s="152" t="s">
        <v>424</v>
      </c>
      <c r="D59" s="153">
        <v>8</v>
      </c>
      <c r="E59" s="179" t="s">
        <v>425</v>
      </c>
      <c r="F59" s="179" t="s">
        <v>424</v>
      </c>
      <c r="G59" s="154" t="s">
        <v>424</v>
      </c>
      <c r="H59" s="180" t="s">
        <v>424</v>
      </c>
      <c r="I59" s="180" t="s">
        <v>424</v>
      </c>
      <c r="J59" s="180" t="s">
        <v>496</v>
      </c>
      <c r="M59" s="12"/>
    </row>
    <row r="60" spans="1:13">
      <c r="A60" s="181" t="s">
        <v>497</v>
      </c>
      <c r="B60" s="179" t="s">
        <v>424</v>
      </c>
      <c r="C60" s="152">
        <v>2</v>
      </c>
      <c r="D60" s="153">
        <v>4</v>
      </c>
      <c r="E60" s="179" t="s">
        <v>424</v>
      </c>
      <c r="F60" s="179" t="s">
        <v>424</v>
      </c>
      <c r="G60" s="154" t="s">
        <v>430</v>
      </c>
      <c r="H60" s="180">
        <v>70</v>
      </c>
      <c r="I60" s="155">
        <v>75</v>
      </c>
      <c r="J60" s="180"/>
      <c r="M60" s="12"/>
    </row>
    <row r="61" spans="1:13">
      <c r="A61" s="181" t="s">
        <v>498</v>
      </c>
      <c r="B61" s="179" t="s">
        <v>429</v>
      </c>
      <c r="C61" s="152">
        <v>2</v>
      </c>
      <c r="D61" s="153">
        <v>12</v>
      </c>
      <c r="E61" s="179" t="s">
        <v>425</v>
      </c>
      <c r="F61" s="179" t="s">
        <v>426</v>
      </c>
      <c r="G61" s="154" t="s">
        <v>424</v>
      </c>
      <c r="H61" s="180">
        <v>68</v>
      </c>
      <c r="I61" s="155">
        <v>75</v>
      </c>
      <c r="J61" s="180" t="s">
        <v>438</v>
      </c>
      <c r="M61" s="12"/>
    </row>
    <row r="62" spans="1:13">
      <c r="A62" s="181" t="s">
        <v>499</v>
      </c>
      <c r="B62" s="179" t="s">
        <v>424</v>
      </c>
      <c r="C62" s="152">
        <v>2</v>
      </c>
      <c r="D62" s="153">
        <v>6</v>
      </c>
      <c r="E62" s="179" t="s">
        <v>424</v>
      </c>
      <c r="F62" s="179" t="s">
        <v>424</v>
      </c>
      <c r="G62" s="154" t="s">
        <v>424</v>
      </c>
      <c r="H62" s="180" t="s">
        <v>424</v>
      </c>
      <c r="I62" s="180" t="s">
        <v>424</v>
      </c>
      <c r="J62" s="180"/>
      <c r="M62" s="12"/>
    </row>
    <row r="63" spans="1:13">
      <c r="A63" s="181" t="s">
        <v>500</v>
      </c>
      <c r="B63" s="179" t="s">
        <v>429</v>
      </c>
      <c r="C63" s="152">
        <v>2</v>
      </c>
      <c r="D63" s="153">
        <v>12</v>
      </c>
      <c r="E63" s="179" t="s">
        <v>425</v>
      </c>
      <c r="F63" s="179" t="s">
        <v>426</v>
      </c>
      <c r="G63" s="154" t="s">
        <v>430</v>
      </c>
      <c r="H63" s="180">
        <v>72</v>
      </c>
      <c r="I63" s="155">
        <v>78</v>
      </c>
      <c r="J63" s="180"/>
      <c r="M63" s="12"/>
    </row>
    <row r="64" spans="1:13">
      <c r="A64" s="181" t="s">
        <v>501</v>
      </c>
      <c r="B64" s="179" t="s">
        <v>433</v>
      </c>
      <c r="C64" s="152">
        <v>2</v>
      </c>
      <c r="D64" s="153">
        <v>6</v>
      </c>
      <c r="E64" s="179" t="s">
        <v>424</v>
      </c>
      <c r="F64" s="179" t="s">
        <v>426</v>
      </c>
      <c r="G64" s="154" t="s">
        <v>444</v>
      </c>
      <c r="H64" s="180">
        <v>72</v>
      </c>
      <c r="I64" s="155">
        <v>78</v>
      </c>
      <c r="J64" s="180"/>
      <c r="M64" s="12"/>
    </row>
    <row r="65" spans="1:13">
      <c r="A65" s="181" t="s">
        <v>502</v>
      </c>
      <c r="B65" s="179" t="s">
        <v>455</v>
      </c>
      <c r="C65" s="152">
        <v>2</v>
      </c>
      <c r="D65" s="153">
        <v>10</v>
      </c>
      <c r="E65" s="179" t="s">
        <v>424</v>
      </c>
      <c r="F65" s="179" t="s">
        <v>426</v>
      </c>
      <c r="G65" s="154" t="s">
        <v>424</v>
      </c>
      <c r="H65" s="180" t="s">
        <v>424</v>
      </c>
      <c r="I65" s="180" t="s">
        <v>424</v>
      </c>
      <c r="J65" s="180"/>
      <c r="M65" s="12"/>
    </row>
    <row r="66" spans="1:13">
      <c r="A66" s="181" t="s">
        <v>503</v>
      </c>
      <c r="B66" s="179" t="s">
        <v>424</v>
      </c>
      <c r="C66" s="152">
        <v>2</v>
      </c>
      <c r="D66" s="153">
        <v>6</v>
      </c>
      <c r="E66" s="179" t="s">
        <v>424</v>
      </c>
      <c r="F66" s="179" t="s">
        <v>426</v>
      </c>
      <c r="G66" s="154" t="s">
        <v>444</v>
      </c>
      <c r="H66" s="180">
        <v>72</v>
      </c>
      <c r="I66" s="155">
        <v>78</v>
      </c>
      <c r="J66" s="180"/>
      <c r="M66" s="12"/>
    </row>
    <row r="67" spans="1:13">
      <c r="A67" s="181" t="s">
        <v>504</v>
      </c>
      <c r="B67" s="179" t="s">
        <v>429</v>
      </c>
      <c r="C67" s="152" t="s">
        <v>424</v>
      </c>
      <c r="D67" s="153">
        <v>10</v>
      </c>
      <c r="E67" s="179" t="s">
        <v>425</v>
      </c>
      <c r="F67" s="179" t="s">
        <v>426</v>
      </c>
      <c r="G67" s="154" t="s">
        <v>424</v>
      </c>
      <c r="H67" s="180">
        <v>70</v>
      </c>
      <c r="I67" s="155">
        <v>75</v>
      </c>
      <c r="J67" s="180" t="s">
        <v>505</v>
      </c>
      <c r="M67" s="12"/>
    </row>
    <row r="68" spans="1:13">
      <c r="A68" s="181" t="s">
        <v>506</v>
      </c>
      <c r="B68" s="179" t="s">
        <v>424</v>
      </c>
      <c r="C68" s="152" t="s">
        <v>424</v>
      </c>
      <c r="D68" s="153">
        <v>2</v>
      </c>
      <c r="E68" s="179" t="s">
        <v>424</v>
      </c>
      <c r="F68" s="179" t="s">
        <v>424</v>
      </c>
      <c r="G68" s="154" t="s">
        <v>424</v>
      </c>
      <c r="H68" s="180" t="s">
        <v>424</v>
      </c>
      <c r="I68" s="180" t="s">
        <v>424</v>
      </c>
      <c r="J68" s="180"/>
      <c r="M68" s="12"/>
    </row>
    <row r="69" spans="1:13">
      <c r="A69" s="181" t="s">
        <v>507</v>
      </c>
      <c r="B69" s="179" t="s">
        <v>429</v>
      </c>
      <c r="C69" s="152">
        <v>2</v>
      </c>
      <c r="D69" s="153">
        <v>6</v>
      </c>
      <c r="E69" s="179" t="s">
        <v>425</v>
      </c>
      <c r="F69" s="179" t="s">
        <v>426</v>
      </c>
      <c r="G69" s="154" t="s">
        <v>424</v>
      </c>
      <c r="H69" s="180" t="s">
        <v>424</v>
      </c>
      <c r="I69" s="180" t="s">
        <v>424</v>
      </c>
      <c r="J69" s="180"/>
      <c r="M69" s="12"/>
    </row>
    <row r="70" spans="1:13">
      <c r="A70" s="181" t="s">
        <v>508</v>
      </c>
      <c r="B70" s="179" t="s">
        <v>429</v>
      </c>
      <c r="C70" s="152" t="s">
        <v>424</v>
      </c>
      <c r="D70" s="153">
        <v>6</v>
      </c>
      <c r="E70" s="179" t="s">
        <v>425</v>
      </c>
      <c r="F70" s="179" t="s">
        <v>426</v>
      </c>
      <c r="G70" s="154" t="s">
        <v>424</v>
      </c>
      <c r="H70" s="180">
        <v>70</v>
      </c>
      <c r="I70" s="155">
        <v>75</v>
      </c>
      <c r="J70" s="180"/>
      <c r="M70" s="12"/>
    </row>
    <row r="71" spans="1:13">
      <c r="A71" s="181" t="s">
        <v>509</v>
      </c>
      <c r="B71" s="179" t="s">
        <v>429</v>
      </c>
      <c r="C71" s="152">
        <v>2</v>
      </c>
      <c r="D71" s="153">
        <v>6</v>
      </c>
      <c r="E71" s="179" t="s">
        <v>425</v>
      </c>
      <c r="F71" s="179" t="s">
        <v>424</v>
      </c>
      <c r="G71" s="154" t="s">
        <v>424</v>
      </c>
      <c r="H71" s="180">
        <v>70</v>
      </c>
      <c r="I71" s="155">
        <v>75</v>
      </c>
      <c r="J71" s="180"/>
      <c r="M71" s="12"/>
    </row>
    <row r="72" spans="1:13">
      <c r="A72" s="181" t="s">
        <v>510</v>
      </c>
      <c r="B72" s="152" t="s">
        <v>424</v>
      </c>
      <c r="C72" s="152" t="s">
        <v>424</v>
      </c>
      <c r="D72" s="153">
        <v>2</v>
      </c>
      <c r="E72" s="179" t="s">
        <v>424</v>
      </c>
      <c r="F72" s="179" t="s">
        <v>424</v>
      </c>
      <c r="G72" s="179" t="s">
        <v>424</v>
      </c>
      <c r="H72" s="179" t="s">
        <v>424</v>
      </c>
      <c r="I72" s="179" t="s">
        <v>424</v>
      </c>
      <c r="J72" s="180" t="s">
        <v>511</v>
      </c>
      <c r="M72" s="12"/>
    </row>
    <row r="73" spans="1:13">
      <c r="A73" s="181" t="s">
        <v>512</v>
      </c>
      <c r="B73" s="179" t="s">
        <v>424</v>
      </c>
      <c r="C73" s="152">
        <v>2</v>
      </c>
      <c r="D73" s="153">
        <v>6</v>
      </c>
      <c r="E73" s="179" t="s">
        <v>424</v>
      </c>
      <c r="F73" s="179" t="s">
        <v>424</v>
      </c>
      <c r="G73" s="154" t="s">
        <v>424</v>
      </c>
      <c r="H73" s="180">
        <v>70</v>
      </c>
      <c r="I73" s="155">
        <v>75</v>
      </c>
      <c r="J73" s="180"/>
      <c r="M73" s="12"/>
    </row>
    <row r="74" spans="1:13">
      <c r="A74" s="181" t="s">
        <v>513</v>
      </c>
      <c r="B74" s="179" t="s">
        <v>424</v>
      </c>
      <c r="C74" s="152">
        <v>2</v>
      </c>
      <c r="D74" s="153">
        <v>6</v>
      </c>
      <c r="E74" s="179" t="s">
        <v>424</v>
      </c>
      <c r="F74" s="179" t="s">
        <v>424</v>
      </c>
      <c r="G74" s="154" t="s">
        <v>424</v>
      </c>
      <c r="H74" s="180">
        <v>70</v>
      </c>
      <c r="I74" s="155">
        <v>75</v>
      </c>
      <c r="J74" s="180"/>
      <c r="M74" s="12"/>
    </row>
    <row r="75" spans="1:13">
      <c r="A75" s="181" t="s">
        <v>514</v>
      </c>
      <c r="B75" s="179" t="s">
        <v>433</v>
      </c>
      <c r="C75" s="152">
        <v>4</v>
      </c>
      <c r="D75" s="153">
        <v>20</v>
      </c>
      <c r="E75" s="179" t="s">
        <v>424</v>
      </c>
      <c r="F75" s="179" t="s">
        <v>426</v>
      </c>
      <c r="G75" s="154" t="s">
        <v>449</v>
      </c>
      <c r="H75" s="180">
        <v>68</v>
      </c>
      <c r="I75" s="155">
        <v>75</v>
      </c>
      <c r="J75" s="180"/>
      <c r="M75" s="12"/>
    </row>
    <row r="76" spans="1:13">
      <c r="A76" s="181" t="s">
        <v>515</v>
      </c>
      <c r="B76" s="179" t="s">
        <v>433</v>
      </c>
      <c r="C76" s="152">
        <v>4</v>
      </c>
      <c r="D76" s="153">
        <v>20</v>
      </c>
      <c r="E76" s="179" t="s">
        <v>424</v>
      </c>
      <c r="F76" s="179" t="s">
        <v>426</v>
      </c>
      <c r="G76" s="154" t="s">
        <v>449</v>
      </c>
      <c r="H76" s="180">
        <v>68</v>
      </c>
      <c r="I76" s="155">
        <v>75</v>
      </c>
      <c r="J76" s="180" t="s">
        <v>450</v>
      </c>
      <c r="M76" s="12"/>
    </row>
    <row r="77" spans="1:13">
      <c r="A77" s="181" t="s">
        <v>180</v>
      </c>
      <c r="B77" s="179" t="s">
        <v>424</v>
      </c>
      <c r="C77" s="152" t="s">
        <v>424</v>
      </c>
      <c r="D77" s="153">
        <v>2</v>
      </c>
      <c r="E77" s="179" t="s">
        <v>424</v>
      </c>
      <c r="F77" s="179" t="s">
        <v>424</v>
      </c>
      <c r="G77" s="154" t="s">
        <v>424</v>
      </c>
      <c r="H77" s="180" t="s">
        <v>424</v>
      </c>
      <c r="I77" s="180" t="s">
        <v>424</v>
      </c>
      <c r="J77" s="180"/>
      <c r="M77" s="12"/>
    </row>
    <row r="78" spans="1:13">
      <c r="A78" s="181" t="s">
        <v>516</v>
      </c>
      <c r="B78" s="179" t="s">
        <v>424</v>
      </c>
      <c r="C78" s="152">
        <v>2</v>
      </c>
      <c r="D78" s="153">
        <v>6</v>
      </c>
      <c r="E78" s="179" t="s">
        <v>424</v>
      </c>
      <c r="F78" s="179" t="s">
        <v>426</v>
      </c>
      <c r="G78" s="154" t="s">
        <v>424</v>
      </c>
      <c r="H78" s="180" t="s">
        <v>424</v>
      </c>
      <c r="I78" s="180" t="s">
        <v>424</v>
      </c>
      <c r="J78" s="180"/>
      <c r="M78" s="12"/>
    </row>
    <row r="79" spans="1:13">
      <c r="A79" s="181" t="s">
        <v>517</v>
      </c>
      <c r="B79" s="179" t="s">
        <v>424</v>
      </c>
      <c r="C79" s="152">
        <v>2</v>
      </c>
      <c r="D79" s="153">
        <v>4</v>
      </c>
      <c r="E79" s="179" t="s">
        <v>424</v>
      </c>
      <c r="F79" s="179" t="s">
        <v>424</v>
      </c>
      <c r="G79" s="154" t="s">
        <v>430</v>
      </c>
      <c r="H79" s="180">
        <v>70</v>
      </c>
      <c r="I79" s="155">
        <v>75</v>
      </c>
      <c r="J79" s="180" t="s">
        <v>518</v>
      </c>
      <c r="M79" s="12"/>
    </row>
    <row r="80" spans="1:13">
      <c r="A80" s="182" t="s">
        <v>519</v>
      </c>
      <c r="B80" s="183" t="s">
        <v>424</v>
      </c>
      <c r="C80" s="152">
        <v>2</v>
      </c>
      <c r="D80" s="153">
        <v>6</v>
      </c>
      <c r="E80" s="183" t="s">
        <v>424</v>
      </c>
      <c r="F80" s="183" t="s">
        <v>424</v>
      </c>
      <c r="G80" s="154" t="s">
        <v>424</v>
      </c>
      <c r="H80" s="184" t="s">
        <v>424</v>
      </c>
      <c r="I80" s="184" t="s">
        <v>424</v>
      </c>
      <c r="J80" s="184"/>
      <c r="M80" s="12"/>
    </row>
    <row r="81" spans="1:13">
      <c r="A81" s="185" t="s">
        <v>520</v>
      </c>
      <c r="B81" s="186" t="s">
        <v>433</v>
      </c>
      <c r="C81" s="152">
        <v>2</v>
      </c>
      <c r="D81" s="153">
        <v>4</v>
      </c>
      <c r="E81" s="186" t="s">
        <v>424</v>
      </c>
      <c r="F81" s="186" t="s">
        <v>424</v>
      </c>
      <c r="G81" s="154" t="s">
        <v>424</v>
      </c>
      <c r="H81" s="187" t="s">
        <v>424</v>
      </c>
      <c r="I81" s="187" t="s">
        <v>424</v>
      </c>
      <c r="J81" s="187" t="s">
        <v>297</v>
      </c>
      <c r="M81" s="12"/>
    </row>
    <row r="82" spans="1:13">
      <c r="A82" s="188" t="s">
        <v>521</v>
      </c>
      <c r="B82" s="189" t="s">
        <v>424</v>
      </c>
      <c r="C82" s="152">
        <v>2</v>
      </c>
      <c r="D82" s="153">
        <v>4</v>
      </c>
      <c r="E82" s="189" t="s">
        <v>424</v>
      </c>
      <c r="F82" s="189" t="s">
        <v>424</v>
      </c>
      <c r="G82" s="154" t="s">
        <v>424</v>
      </c>
      <c r="H82" s="190" t="s">
        <v>424</v>
      </c>
      <c r="I82" s="190" t="s">
        <v>424</v>
      </c>
      <c r="J82" s="190"/>
      <c r="M82" s="12"/>
    </row>
    <row r="83" spans="1:13">
      <c r="A83" s="191" t="s">
        <v>522</v>
      </c>
      <c r="B83" s="192" t="s">
        <v>433</v>
      </c>
      <c r="C83" s="152" t="s">
        <v>424</v>
      </c>
      <c r="D83" s="153" t="s">
        <v>424</v>
      </c>
      <c r="E83" s="192" t="s">
        <v>424</v>
      </c>
      <c r="F83" s="192" t="s">
        <v>424</v>
      </c>
      <c r="G83" s="154" t="s">
        <v>523</v>
      </c>
      <c r="H83" s="193">
        <v>68</v>
      </c>
      <c r="I83" s="193">
        <v>68</v>
      </c>
      <c r="J83" s="193" t="s">
        <v>297</v>
      </c>
      <c r="M83" s="12"/>
    </row>
    <row r="84" spans="1:13">
      <c r="A84" s="194" t="s">
        <v>524</v>
      </c>
      <c r="B84" s="195" t="s">
        <v>429</v>
      </c>
      <c r="C84" s="152" t="s">
        <v>424</v>
      </c>
      <c r="D84" s="153">
        <v>30</v>
      </c>
      <c r="E84" s="195" t="s">
        <v>425</v>
      </c>
      <c r="F84" s="195" t="s">
        <v>426</v>
      </c>
      <c r="G84" s="154" t="s">
        <v>523</v>
      </c>
      <c r="H84" s="196">
        <v>68</v>
      </c>
      <c r="I84" s="196">
        <v>68</v>
      </c>
      <c r="J84" s="196" t="s">
        <v>297</v>
      </c>
      <c r="M84" s="12"/>
    </row>
    <row r="85" spans="1:13">
      <c r="A85" s="197" t="s">
        <v>525</v>
      </c>
      <c r="B85" s="198" t="s">
        <v>429</v>
      </c>
      <c r="C85" s="152" t="s">
        <v>424</v>
      </c>
      <c r="D85" s="153">
        <v>12</v>
      </c>
      <c r="E85" s="198" t="s">
        <v>425</v>
      </c>
      <c r="F85" s="198" t="s">
        <v>424</v>
      </c>
      <c r="G85" s="154" t="s">
        <v>424</v>
      </c>
      <c r="H85" s="199" t="s">
        <v>424</v>
      </c>
      <c r="I85" s="199" t="s">
        <v>424</v>
      </c>
      <c r="J85" s="199" t="s">
        <v>526</v>
      </c>
      <c r="M85" s="12"/>
    </row>
    <row r="86" spans="1:13">
      <c r="A86" s="200" t="s">
        <v>527</v>
      </c>
      <c r="B86" s="201" t="s">
        <v>429</v>
      </c>
      <c r="C86" s="152" t="s">
        <v>424</v>
      </c>
      <c r="D86" s="153">
        <v>12</v>
      </c>
      <c r="E86" s="201" t="s">
        <v>425</v>
      </c>
      <c r="F86" s="201" t="s">
        <v>424</v>
      </c>
      <c r="G86" s="154" t="s">
        <v>424</v>
      </c>
      <c r="H86" s="202" t="s">
        <v>424</v>
      </c>
      <c r="I86" s="202" t="s">
        <v>424</v>
      </c>
      <c r="J86" s="202" t="s">
        <v>297</v>
      </c>
      <c r="M86" s="12"/>
    </row>
    <row r="87" spans="1:13">
      <c r="A87" s="203" t="s">
        <v>528</v>
      </c>
      <c r="B87" s="204" t="s">
        <v>433</v>
      </c>
      <c r="C87" s="152" t="s">
        <v>424</v>
      </c>
      <c r="D87" s="153">
        <v>30</v>
      </c>
      <c r="E87" s="204" t="s">
        <v>424</v>
      </c>
      <c r="F87" s="204" t="s">
        <v>424</v>
      </c>
      <c r="G87" s="154" t="s">
        <v>523</v>
      </c>
      <c r="H87" s="205">
        <v>68</v>
      </c>
      <c r="I87" s="205">
        <v>68</v>
      </c>
      <c r="J87" s="205" t="s">
        <v>297</v>
      </c>
      <c r="M87" s="12"/>
    </row>
    <row r="88" spans="1:13">
      <c r="A88" s="206" t="s">
        <v>529</v>
      </c>
      <c r="B88" s="207" t="s">
        <v>433</v>
      </c>
      <c r="C88" s="152" t="s">
        <v>424</v>
      </c>
      <c r="D88" s="153">
        <v>30</v>
      </c>
      <c r="E88" s="207" t="s">
        <v>424</v>
      </c>
      <c r="F88" s="207" t="s">
        <v>426</v>
      </c>
      <c r="G88" s="154" t="s">
        <v>523</v>
      </c>
      <c r="H88" s="208">
        <v>68</v>
      </c>
      <c r="I88" s="208">
        <v>68</v>
      </c>
      <c r="J88" s="208" t="s">
        <v>297</v>
      </c>
      <c r="M88" s="12"/>
    </row>
    <row r="89" spans="1:13">
      <c r="A89" s="209" t="s">
        <v>530</v>
      </c>
      <c r="B89" s="210" t="s">
        <v>424</v>
      </c>
      <c r="C89" s="152" t="s">
        <v>424</v>
      </c>
      <c r="D89" s="153" t="s">
        <v>424</v>
      </c>
      <c r="E89" s="210" t="s">
        <v>424</v>
      </c>
      <c r="F89" s="210" t="s">
        <v>424</v>
      </c>
      <c r="G89" s="154" t="s">
        <v>424</v>
      </c>
      <c r="H89" s="211" t="s">
        <v>424</v>
      </c>
      <c r="I89" s="211" t="s">
        <v>424</v>
      </c>
      <c r="J89" s="211"/>
      <c r="M89" s="12"/>
    </row>
    <row r="90" spans="1:13">
      <c r="A90" s="212" t="s">
        <v>531</v>
      </c>
      <c r="B90" s="213" t="s">
        <v>429</v>
      </c>
      <c r="C90" s="152">
        <v>2</v>
      </c>
      <c r="D90" s="153">
        <v>6</v>
      </c>
      <c r="E90" s="213" t="s">
        <v>424</v>
      </c>
      <c r="F90" s="213" t="s">
        <v>424</v>
      </c>
      <c r="G90" s="154" t="s">
        <v>424</v>
      </c>
      <c r="H90" s="214">
        <v>70</v>
      </c>
      <c r="I90" s="155">
        <v>75</v>
      </c>
      <c r="J90" s="214"/>
      <c r="M90" s="12"/>
    </row>
    <row r="91" spans="1:13">
      <c r="A91" s="215" t="s">
        <v>532</v>
      </c>
      <c r="B91" s="216" t="s">
        <v>429</v>
      </c>
      <c r="C91" s="152">
        <v>2</v>
      </c>
      <c r="D91" s="153">
        <v>6</v>
      </c>
      <c r="E91" s="216" t="s">
        <v>424</v>
      </c>
      <c r="F91" s="216" t="s">
        <v>424</v>
      </c>
      <c r="G91" s="154" t="s">
        <v>460</v>
      </c>
      <c r="H91" s="217">
        <v>72</v>
      </c>
      <c r="I91" s="155">
        <v>80</v>
      </c>
      <c r="J91" s="217"/>
      <c r="M91" s="12"/>
    </row>
    <row r="92" spans="1:13">
      <c r="A92" s="218" t="s">
        <v>533</v>
      </c>
      <c r="B92" s="219" t="s">
        <v>424</v>
      </c>
      <c r="C92" s="152">
        <v>2</v>
      </c>
      <c r="D92" s="153">
        <v>6</v>
      </c>
      <c r="E92" s="219" t="s">
        <v>425</v>
      </c>
      <c r="F92" s="219" t="s">
        <v>426</v>
      </c>
      <c r="G92" s="154" t="s">
        <v>449</v>
      </c>
      <c r="H92" s="220">
        <v>70</v>
      </c>
      <c r="I92" s="155">
        <v>75</v>
      </c>
      <c r="J92" s="220"/>
      <c r="M92" s="12"/>
    </row>
    <row r="93" spans="1:13">
      <c r="A93" s="221" t="s">
        <v>534</v>
      </c>
      <c r="B93" s="222" t="s">
        <v>429</v>
      </c>
      <c r="C93" s="152">
        <v>2</v>
      </c>
      <c r="D93" s="153">
        <v>12</v>
      </c>
      <c r="E93" s="222" t="s">
        <v>425</v>
      </c>
      <c r="F93" s="222" t="s">
        <v>424</v>
      </c>
      <c r="G93" s="154" t="s">
        <v>424</v>
      </c>
      <c r="H93" s="223" t="s">
        <v>424</v>
      </c>
      <c r="I93" s="223" t="s">
        <v>424</v>
      </c>
      <c r="J93" s="223" t="s">
        <v>461</v>
      </c>
      <c r="M93" s="12"/>
    </row>
    <row r="94" spans="1:13">
      <c r="A94" s="224" t="s">
        <v>535</v>
      </c>
      <c r="B94" s="225" t="s">
        <v>433</v>
      </c>
      <c r="C94" s="152">
        <v>3</v>
      </c>
      <c r="D94" s="153">
        <v>15</v>
      </c>
      <c r="E94" s="225" t="s">
        <v>424</v>
      </c>
      <c r="F94" s="225" t="s">
        <v>426</v>
      </c>
      <c r="G94" s="154" t="s">
        <v>449</v>
      </c>
      <c r="H94" s="226">
        <v>70</v>
      </c>
      <c r="I94" s="155">
        <v>75</v>
      </c>
      <c r="J94" s="226" t="s">
        <v>536</v>
      </c>
      <c r="M94" s="12"/>
    </row>
    <row r="95" spans="1:13">
      <c r="A95" s="227" t="s">
        <v>537</v>
      </c>
      <c r="B95" s="228" t="s">
        <v>538</v>
      </c>
      <c r="C95" s="152" t="s">
        <v>424</v>
      </c>
      <c r="D95" s="153">
        <v>10</v>
      </c>
      <c r="E95" s="228" t="s">
        <v>424</v>
      </c>
      <c r="F95" s="228" t="s">
        <v>426</v>
      </c>
      <c r="G95" s="154" t="s">
        <v>424</v>
      </c>
      <c r="H95" s="229" t="s">
        <v>424</v>
      </c>
      <c r="I95" s="229" t="s">
        <v>424</v>
      </c>
      <c r="J95" s="229" t="s">
        <v>539</v>
      </c>
      <c r="M95" s="12"/>
    </row>
    <row r="96" spans="1:13">
      <c r="A96" s="230" t="s">
        <v>540</v>
      </c>
      <c r="B96" s="231" t="s">
        <v>433</v>
      </c>
      <c r="C96" s="152">
        <v>2</v>
      </c>
      <c r="D96" s="153">
        <v>12</v>
      </c>
      <c r="E96" s="231" t="s">
        <v>424</v>
      </c>
      <c r="F96" s="231" t="s">
        <v>426</v>
      </c>
      <c r="G96" s="154" t="s">
        <v>430</v>
      </c>
      <c r="H96" s="232">
        <v>70</v>
      </c>
      <c r="I96" s="155">
        <v>75</v>
      </c>
      <c r="J96" s="232" t="s">
        <v>539</v>
      </c>
      <c r="M96" s="12"/>
    </row>
    <row r="97" spans="1:13">
      <c r="A97" s="233" t="s">
        <v>541</v>
      </c>
      <c r="B97" s="234" t="s">
        <v>429</v>
      </c>
      <c r="C97" s="152">
        <v>2</v>
      </c>
      <c r="D97" s="153">
        <v>12</v>
      </c>
      <c r="E97" s="234" t="s">
        <v>425</v>
      </c>
      <c r="F97" s="234" t="s">
        <v>424</v>
      </c>
      <c r="G97" s="154" t="s">
        <v>430</v>
      </c>
      <c r="H97" s="235">
        <v>70</v>
      </c>
      <c r="I97" s="155">
        <v>75</v>
      </c>
      <c r="J97" s="235" t="s">
        <v>542</v>
      </c>
      <c r="M97" s="12"/>
    </row>
    <row r="98" spans="1:13">
      <c r="A98" s="236" t="s">
        <v>543</v>
      </c>
      <c r="B98" s="237" t="s">
        <v>424</v>
      </c>
      <c r="C98" s="152">
        <v>2</v>
      </c>
      <c r="D98" s="153">
        <v>6</v>
      </c>
      <c r="E98" s="237" t="s">
        <v>424</v>
      </c>
      <c r="F98" s="237" t="s">
        <v>426</v>
      </c>
      <c r="G98" s="154" t="s">
        <v>449</v>
      </c>
      <c r="H98" s="238">
        <v>70</v>
      </c>
      <c r="I98" s="155">
        <v>75</v>
      </c>
      <c r="J98" s="238"/>
      <c r="M98" s="12"/>
    </row>
    <row r="99" spans="1:13">
      <c r="A99" s="239" t="s">
        <v>544</v>
      </c>
      <c r="B99" s="240" t="s">
        <v>424</v>
      </c>
      <c r="C99" s="152">
        <v>2</v>
      </c>
      <c r="D99" s="153">
        <v>6</v>
      </c>
      <c r="E99" s="240" t="s">
        <v>424</v>
      </c>
      <c r="F99" s="240" t="s">
        <v>424</v>
      </c>
      <c r="G99" s="154" t="s">
        <v>424</v>
      </c>
      <c r="H99" s="241" t="s">
        <v>424</v>
      </c>
      <c r="I99" s="241" t="s">
        <v>424</v>
      </c>
      <c r="J99" s="241"/>
      <c r="M99" s="12"/>
    </row>
    <row r="100" spans="1:13">
      <c r="A100" s="242" t="s">
        <v>545</v>
      </c>
      <c r="B100" s="243" t="s">
        <v>424</v>
      </c>
      <c r="C100" s="152">
        <v>4</v>
      </c>
      <c r="D100" s="153">
        <v>4</v>
      </c>
      <c r="E100" s="243" t="s">
        <v>424</v>
      </c>
      <c r="F100" s="243" t="s">
        <v>424</v>
      </c>
      <c r="G100" s="154" t="s">
        <v>424</v>
      </c>
      <c r="H100" s="244">
        <v>70</v>
      </c>
      <c r="I100" s="155">
        <v>75</v>
      </c>
      <c r="J100" s="244"/>
      <c r="M100" s="12"/>
    </row>
    <row r="101" spans="1:13">
      <c r="A101" s="245" t="s">
        <v>546</v>
      </c>
      <c r="B101" s="246" t="s">
        <v>424</v>
      </c>
      <c r="C101" s="152">
        <v>2</v>
      </c>
      <c r="D101" s="153">
        <v>2</v>
      </c>
      <c r="E101" s="246" t="s">
        <v>424</v>
      </c>
      <c r="F101" s="246" t="s">
        <v>424</v>
      </c>
      <c r="G101" s="154" t="s">
        <v>424</v>
      </c>
      <c r="H101" s="247">
        <v>70</v>
      </c>
      <c r="I101" s="155">
        <v>75</v>
      </c>
      <c r="J101" s="247"/>
      <c r="M101" s="12"/>
    </row>
    <row r="102" spans="1:13">
      <c r="A102" s="248" t="s">
        <v>547</v>
      </c>
      <c r="B102" s="249" t="s">
        <v>424</v>
      </c>
      <c r="C102" s="152" t="s">
        <v>424</v>
      </c>
      <c r="D102" s="153">
        <v>4</v>
      </c>
      <c r="E102" s="249" t="s">
        <v>424</v>
      </c>
      <c r="F102" s="249" t="s">
        <v>424</v>
      </c>
      <c r="G102" s="154" t="s">
        <v>424</v>
      </c>
      <c r="H102" s="250" t="s">
        <v>424</v>
      </c>
      <c r="I102" s="250" t="s">
        <v>424</v>
      </c>
      <c r="J102" s="250"/>
      <c r="M102" s="12"/>
    </row>
    <row r="103" spans="1:13">
      <c r="A103" s="251" t="s">
        <v>548</v>
      </c>
      <c r="B103" s="252" t="s">
        <v>424</v>
      </c>
      <c r="C103" s="152">
        <v>2</v>
      </c>
      <c r="D103" s="153">
        <v>6</v>
      </c>
      <c r="E103" s="252" t="s">
        <v>424</v>
      </c>
      <c r="F103" s="252" t="s">
        <v>424</v>
      </c>
      <c r="G103" s="154" t="s">
        <v>424</v>
      </c>
      <c r="H103" s="253" t="s">
        <v>424</v>
      </c>
      <c r="I103" s="253" t="s">
        <v>424</v>
      </c>
      <c r="J103" s="253"/>
      <c r="M103" s="12"/>
    </row>
    <row r="104" spans="1:13">
      <c r="A104" s="254" t="s">
        <v>549</v>
      </c>
      <c r="B104" s="255" t="s">
        <v>424</v>
      </c>
      <c r="C104" s="256">
        <v>2</v>
      </c>
      <c r="D104" s="257">
        <v>4</v>
      </c>
      <c r="E104" s="255" t="s">
        <v>424</v>
      </c>
      <c r="F104" s="255" t="s">
        <v>424</v>
      </c>
      <c r="G104" s="258" t="s">
        <v>424</v>
      </c>
      <c r="H104" s="253" t="s">
        <v>424</v>
      </c>
      <c r="I104" s="253" t="s">
        <v>424</v>
      </c>
      <c r="J104" s="155"/>
      <c r="M104" s="12"/>
    </row>
    <row r="105" spans="1:13">
      <c r="A105" s="254" t="s">
        <v>550</v>
      </c>
      <c r="B105" s="255" t="s">
        <v>429</v>
      </c>
      <c r="C105" s="256" t="s">
        <v>424</v>
      </c>
      <c r="D105" s="257">
        <v>10</v>
      </c>
      <c r="E105" s="255" t="s">
        <v>425</v>
      </c>
      <c r="F105" s="255" t="s">
        <v>426</v>
      </c>
      <c r="G105" s="258" t="s">
        <v>424</v>
      </c>
      <c r="H105" s="253" t="s">
        <v>424</v>
      </c>
      <c r="I105" s="253" t="s">
        <v>424</v>
      </c>
      <c r="J105" s="259"/>
      <c r="M105" s="12"/>
    </row>
    <row r="106" spans="1:13">
      <c r="A106" s="260" t="s">
        <v>551</v>
      </c>
      <c r="B106" s="261" t="s">
        <v>429</v>
      </c>
      <c r="C106" s="256" t="s">
        <v>424</v>
      </c>
      <c r="D106" s="257">
        <v>10</v>
      </c>
      <c r="E106" s="261" t="s">
        <v>425</v>
      </c>
      <c r="F106" s="261" t="s">
        <v>426</v>
      </c>
      <c r="G106" s="258" t="s">
        <v>424</v>
      </c>
      <c r="H106" s="253" t="s">
        <v>424</v>
      </c>
      <c r="I106" s="253" t="s">
        <v>424</v>
      </c>
      <c r="J106" s="259"/>
      <c r="M106" s="12"/>
    </row>
    <row r="107" spans="1:13">
      <c r="A107" s="260" t="s">
        <v>552</v>
      </c>
      <c r="B107" s="261" t="s">
        <v>429</v>
      </c>
      <c r="C107" s="256">
        <v>2</v>
      </c>
      <c r="D107" s="257">
        <v>6</v>
      </c>
      <c r="E107" s="261" t="s">
        <v>425</v>
      </c>
      <c r="F107" s="261" t="s">
        <v>426</v>
      </c>
      <c r="G107" s="258" t="s">
        <v>424</v>
      </c>
      <c r="H107" s="253">
        <v>72</v>
      </c>
      <c r="I107" s="262">
        <v>78</v>
      </c>
      <c r="J107" s="262"/>
      <c r="M107" s="12"/>
    </row>
    <row r="108" spans="1:13">
      <c r="A108" s="263" t="s">
        <v>553</v>
      </c>
      <c r="B108" s="264" t="s">
        <v>429</v>
      </c>
      <c r="C108" s="256">
        <v>2</v>
      </c>
      <c r="D108" s="257">
        <v>10</v>
      </c>
      <c r="E108" s="264" t="s">
        <v>425</v>
      </c>
      <c r="F108" s="264" t="s">
        <v>426</v>
      </c>
      <c r="G108" s="258" t="s">
        <v>424</v>
      </c>
      <c r="H108" s="253" t="s">
        <v>424</v>
      </c>
      <c r="I108" s="253" t="s">
        <v>424</v>
      </c>
      <c r="J108" s="262"/>
      <c r="M108" s="12"/>
    </row>
    <row r="109" spans="1:13">
      <c r="A109" s="263" t="s">
        <v>554</v>
      </c>
      <c r="B109" s="264" t="s">
        <v>424</v>
      </c>
      <c r="C109" s="256">
        <v>2</v>
      </c>
      <c r="D109" s="257">
        <v>6</v>
      </c>
      <c r="E109" s="264" t="s">
        <v>425</v>
      </c>
      <c r="F109" s="264" t="s">
        <v>424</v>
      </c>
      <c r="G109" s="258" t="s">
        <v>424</v>
      </c>
      <c r="H109" s="253" t="s">
        <v>424</v>
      </c>
      <c r="I109" s="253" t="s">
        <v>424</v>
      </c>
      <c r="J109" s="265"/>
      <c r="M109" s="12"/>
    </row>
    <row r="110" spans="1:13">
      <c r="A110" s="266" t="s">
        <v>555</v>
      </c>
      <c r="B110" s="267" t="s">
        <v>424</v>
      </c>
      <c r="C110" s="256">
        <v>2</v>
      </c>
      <c r="D110" s="257">
        <v>6</v>
      </c>
      <c r="E110" s="267" t="s">
        <v>424</v>
      </c>
      <c r="F110" s="267" t="s">
        <v>424</v>
      </c>
      <c r="G110" s="258" t="s">
        <v>424</v>
      </c>
      <c r="H110" s="253" t="s">
        <v>424</v>
      </c>
      <c r="I110" s="253" t="s">
        <v>424</v>
      </c>
      <c r="J110" s="265"/>
      <c r="M110" s="12"/>
    </row>
    <row r="111" spans="1:13">
      <c r="A111" s="266" t="s">
        <v>556</v>
      </c>
      <c r="B111" s="267" t="s">
        <v>433</v>
      </c>
      <c r="C111" s="256">
        <v>2</v>
      </c>
      <c r="D111" s="257">
        <v>4</v>
      </c>
      <c r="E111" s="267" t="s">
        <v>424</v>
      </c>
      <c r="F111" s="267" t="s">
        <v>424</v>
      </c>
      <c r="G111" s="258" t="s">
        <v>430</v>
      </c>
      <c r="H111" s="253">
        <v>72</v>
      </c>
      <c r="I111" s="268">
        <v>78</v>
      </c>
      <c r="J111" s="268"/>
      <c r="M111" s="12"/>
    </row>
    <row r="112" spans="1:13">
      <c r="A112" s="269" t="s">
        <v>557</v>
      </c>
      <c r="B112" s="267" t="s">
        <v>429</v>
      </c>
      <c r="C112" s="256" t="s">
        <v>424</v>
      </c>
      <c r="D112" s="257">
        <v>10</v>
      </c>
      <c r="E112" s="267" t="s">
        <v>425</v>
      </c>
      <c r="F112" s="267" t="s">
        <v>426</v>
      </c>
      <c r="G112" s="258" t="s">
        <v>424</v>
      </c>
      <c r="H112" s="253" t="s">
        <v>424</v>
      </c>
      <c r="I112" s="253" t="s">
        <v>424</v>
      </c>
      <c r="J112" s="268"/>
      <c r="M112" s="12"/>
    </row>
    <row r="113" spans="1:13">
      <c r="A113" s="269" t="s">
        <v>558</v>
      </c>
      <c r="B113" s="267" t="s">
        <v>424</v>
      </c>
      <c r="C113" s="256">
        <v>2</v>
      </c>
      <c r="D113" s="257">
        <v>6</v>
      </c>
      <c r="E113" s="267" t="s">
        <v>424</v>
      </c>
      <c r="F113" s="267" t="s">
        <v>426</v>
      </c>
      <c r="G113" s="258" t="s">
        <v>424</v>
      </c>
      <c r="H113" s="253" t="s">
        <v>424</v>
      </c>
      <c r="I113" s="253" t="s">
        <v>424</v>
      </c>
      <c r="J113" s="268"/>
      <c r="M113" s="12"/>
    </row>
    <row r="114" spans="1:13">
      <c r="A114" s="269" t="s">
        <v>559</v>
      </c>
      <c r="B114" s="267" t="s">
        <v>429</v>
      </c>
      <c r="C114" s="256" t="s">
        <v>424</v>
      </c>
      <c r="D114" s="257">
        <v>10</v>
      </c>
      <c r="E114" s="267" t="s">
        <v>425</v>
      </c>
      <c r="F114" s="267" t="s">
        <v>426</v>
      </c>
      <c r="G114" s="258" t="s">
        <v>424</v>
      </c>
      <c r="H114" s="253" t="s">
        <v>424</v>
      </c>
      <c r="I114" s="253" t="s">
        <v>424</v>
      </c>
      <c r="J114" s="268"/>
      <c r="M114" s="12"/>
    </row>
    <row r="115" spans="1:13">
      <c r="A115" s="269" t="s">
        <v>560</v>
      </c>
      <c r="B115" s="267" t="s">
        <v>433</v>
      </c>
      <c r="C115" s="256">
        <v>3</v>
      </c>
      <c r="D115" s="257">
        <v>15</v>
      </c>
      <c r="E115" s="267" t="s">
        <v>424</v>
      </c>
      <c r="F115" s="267" t="s">
        <v>426</v>
      </c>
      <c r="G115" s="258" t="s">
        <v>449</v>
      </c>
      <c r="H115" s="253">
        <v>70</v>
      </c>
      <c r="I115" s="268">
        <v>75</v>
      </c>
      <c r="J115" s="268" t="s">
        <v>340</v>
      </c>
      <c r="M115" s="12"/>
    </row>
    <row r="116" spans="1:13">
      <c r="A116" s="269" t="s">
        <v>561</v>
      </c>
      <c r="B116" s="267" t="s">
        <v>424</v>
      </c>
      <c r="C116" s="256">
        <v>2</v>
      </c>
      <c r="D116" s="257">
        <v>6</v>
      </c>
      <c r="E116" s="267" t="s">
        <v>424</v>
      </c>
      <c r="F116" s="267" t="s">
        <v>424</v>
      </c>
      <c r="G116" s="258" t="s">
        <v>449</v>
      </c>
      <c r="H116" s="253">
        <v>70</v>
      </c>
      <c r="I116" s="268">
        <v>75</v>
      </c>
      <c r="J116" s="268" t="s">
        <v>455</v>
      </c>
      <c r="M116" s="12"/>
    </row>
    <row r="117" spans="1:13">
      <c r="A117" s="269" t="s">
        <v>562</v>
      </c>
      <c r="B117" s="267" t="s">
        <v>424</v>
      </c>
      <c r="C117" s="256">
        <v>2</v>
      </c>
      <c r="D117" s="257">
        <v>6</v>
      </c>
      <c r="E117" s="267" t="s">
        <v>424</v>
      </c>
      <c r="F117" s="267" t="s">
        <v>424</v>
      </c>
      <c r="G117" s="258" t="s">
        <v>430</v>
      </c>
      <c r="H117" s="253">
        <v>70</v>
      </c>
      <c r="I117" s="268">
        <v>75</v>
      </c>
      <c r="J117" s="268" t="s">
        <v>467</v>
      </c>
      <c r="M117" s="12"/>
    </row>
    <row r="118" spans="1:13">
      <c r="A118" s="269" t="s">
        <v>563</v>
      </c>
      <c r="B118" s="267" t="s">
        <v>429</v>
      </c>
      <c r="C118" s="256">
        <v>2</v>
      </c>
      <c r="D118" s="257">
        <v>12</v>
      </c>
      <c r="E118" s="267" t="s">
        <v>425</v>
      </c>
      <c r="F118" s="267" t="s">
        <v>424</v>
      </c>
      <c r="G118" s="258" t="s">
        <v>430</v>
      </c>
      <c r="H118" s="253">
        <v>70</v>
      </c>
      <c r="I118" s="268">
        <v>75</v>
      </c>
      <c r="J118" s="268" t="s">
        <v>461</v>
      </c>
      <c r="M118" s="12"/>
    </row>
    <row r="119" spans="1:13">
      <c r="A119" s="269" t="s">
        <v>564</v>
      </c>
      <c r="B119" s="267" t="s">
        <v>424</v>
      </c>
      <c r="C119" s="256">
        <v>2</v>
      </c>
      <c r="D119" s="257">
        <v>6</v>
      </c>
      <c r="E119" s="267" t="s">
        <v>424</v>
      </c>
      <c r="F119" s="267" t="s">
        <v>424</v>
      </c>
      <c r="G119" s="258" t="s">
        <v>424</v>
      </c>
      <c r="H119" s="253" t="s">
        <v>424</v>
      </c>
      <c r="I119" s="253" t="s">
        <v>424</v>
      </c>
      <c r="J119" s="268"/>
      <c r="M119" s="12"/>
    </row>
    <row r="120" spans="1:13">
      <c r="A120" s="269" t="s">
        <v>565</v>
      </c>
      <c r="B120" s="267" t="s">
        <v>424</v>
      </c>
      <c r="C120" s="256">
        <v>2</v>
      </c>
      <c r="D120" s="257">
        <v>2</v>
      </c>
      <c r="E120" s="267" t="s">
        <v>424</v>
      </c>
      <c r="F120" s="267" t="s">
        <v>424</v>
      </c>
      <c r="G120" s="258" t="s">
        <v>424</v>
      </c>
      <c r="H120" s="253" t="s">
        <v>424</v>
      </c>
      <c r="I120" s="253" t="s">
        <v>424</v>
      </c>
      <c r="J120" s="268"/>
      <c r="M120" s="12"/>
    </row>
    <row r="121" spans="1:13">
      <c r="A121" s="269" t="s">
        <v>566</v>
      </c>
      <c r="B121" s="267" t="s">
        <v>429</v>
      </c>
      <c r="C121" s="256">
        <v>2</v>
      </c>
      <c r="D121" s="257">
        <v>12</v>
      </c>
      <c r="E121" s="267" t="s">
        <v>425</v>
      </c>
      <c r="F121" s="267" t="s">
        <v>426</v>
      </c>
      <c r="G121" s="258" t="s">
        <v>424</v>
      </c>
      <c r="H121" s="253" t="s">
        <v>424</v>
      </c>
      <c r="I121" s="253" t="s">
        <v>424</v>
      </c>
      <c r="J121" s="268"/>
      <c r="M121" s="12"/>
    </row>
    <row r="122" spans="1:13">
      <c r="A122" s="269" t="s">
        <v>567</v>
      </c>
      <c r="B122" s="267" t="s">
        <v>429</v>
      </c>
      <c r="C122" s="256">
        <v>2</v>
      </c>
      <c r="D122" s="257">
        <v>10</v>
      </c>
      <c r="E122" s="267" t="s">
        <v>425</v>
      </c>
      <c r="F122" s="267" t="s">
        <v>424</v>
      </c>
      <c r="G122" s="258" t="s">
        <v>424</v>
      </c>
      <c r="H122" s="253" t="s">
        <v>424</v>
      </c>
      <c r="I122" s="253" t="s">
        <v>424</v>
      </c>
      <c r="J122" s="268" t="s">
        <v>461</v>
      </c>
      <c r="M122" s="12"/>
    </row>
    <row r="123" spans="1:13">
      <c r="A123" s="269" t="s">
        <v>568</v>
      </c>
      <c r="B123" s="267" t="s">
        <v>429</v>
      </c>
      <c r="C123" s="256" t="s">
        <v>424</v>
      </c>
      <c r="D123" s="257">
        <v>10</v>
      </c>
      <c r="E123" s="267" t="s">
        <v>425</v>
      </c>
      <c r="F123" s="267" t="s">
        <v>426</v>
      </c>
      <c r="G123" s="258" t="s">
        <v>424</v>
      </c>
      <c r="H123" s="253" t="s">
        <v>424</v>
      </c>
      <c r="I123" s="253" t="s">
        <v>424</v>
      </c>
      <c r="J123" s="268"/>
      <c r="M123" s="12"/>
    </row>
    <row r="124" spans="1:13">
      <c r="A124" s="269" t="s">
        <v>569</v>
      </c>
      <c r="B124" s="267" t="s">
        <v>424</v>
      </c>
      <c r="C124" s="256">
        <v>2</v>
      </c>
      <c r="D124" s="257">
        <v>6</v>
      </c>
      <c r="E124" s="267" t="s">
        <v>424</v>
      </c>
      <c r="F124" s="267" t="s">
        <v>426</v>
      </c>
      <c r="G124" s="258" t="s">
        <v>570</v>
      </c>
      <c r="H124" s="253">
        <v>70</v>
      </c>
      <c r="I124" s="268">
        <v>75</v>
      </c>
      <c r="J124" s="268"/>
      <c r="M124" s="12"/>
    </row>
    <row r="125" spans="1:13">
      <c r="A125" s="270" t="s">
        <v>571</v>
      </c>
      <c r="B125" s="267" t="s">
        <v>424</v>
      </c>
      <c r="C125" s="256">
        <v>2</v>
      </c>
      <c r="D125" s="257">
        <v>6</v>
      </c>
      <c r="E125" s="267" t="s">
        <v>424</v>
      </c>
      <c r="F125" s="267" t="s">
        <v>424</v>
      </c>
      <c r="G125" s="258" t="s">
        <v>430</v>
      </c>
      <c r="H125" s="253">
        <v>72</v>
      </c>
      <c r="I125" s="268">
        <v>78</v>
      </c>
      <c r="J125" s="268"/>
      <c r="M125" s="12"/>
    </row>
    <row r="126" spans="1:13">
      <c r="A126" s="269" t="s">
        <v>74</v>
      </c>
      <c r="B126" s="267" t="s">
        <v>410</v>
      </c>
      <c r="C126" s="256" t="s">
        <v>410</v>
      </c>
      <c r="D126" s="257" t="s">
        <v>410</v>
      </c>
      <c r="E126" s="267" t="s">
        <v>410</v>
      </c>
      <c r="F126" s="267" t="s">
        <v>410</v>
      </c>
      <c r="G126" s="258" t="s">
        <v>410</v>
      </c>
      <c r="H126" s="268" t="s">
        <v>410</v>
      </c>
      <c r="I126" s="268" t="s">
        <v>410</v>
      </c>
      <c r="J126" s="268"/>
      <c r="M126" s="12"/>
    </row>
    <row r="127" spans="1:13">
      <c r="A127" s="270" t="s">
        <v>572</v>
      </c>
      <c r="B127" s="267" t="s">
        <v>433</v>
      </c>
      <c r="C127" s="256">
        <v>3</v>
      </c>
      <c r="D127" s="257">
        <v>15</v>
      </c>
      <c r="E127" s="267" t="s">
        <v>424</v>
      </c>
      <c r="F127" s="267" t="s">
        <v>426</v>
      </c>
      <c r="G127" s="258" t="s">
        <v>430</v>
      </c>
      <c r="H127" s="268">
        <v>70</v>
      </c>
      <c r="I127" s="268">
        <v>75</v>
      </c>
      <c r="J127" s="268"/>
      <c r="M127" s="12"/>
    </row>
    <row r="128" spans="1:13">
      <c r="M128" s="12"/>
    </row>
    <row r="129" spans="13:13">
      <c r="M129" s="12"/>
    </row>
    <row r="130" spans="13:13">
      <c r="M130" s="12"/>
    </row>
    <row r="131" spans="13:13">
      <c r="M131" s="12"/>
    </row>
  </sheetData>
  <sortState xmlns:xlrd2="http://schemas.microsoft.com/office/spreadsheetml/2017/richdata2" ref="A2:I132">
    <sortCondition ref="A2:A132"/>
  </sortState>
  <phoneticPr fontId="0" type="noConversion"/>
  <hyperlinks>
    <hyperlink ref="A13" r:id="rId1" location="clean_ing" display="https://up.codes/viewer/california/ca-mechanical-code-2022/chapter/2/definitions - clean_ing" xr:uid="{95CDA9FD-FA84-FA4F-BC65-7F49FA7A1A62}"/>
    <hyperlink ref="A14" r:id="rId2" location="clean_ing" display="https://up.codes/viewer/california/ca-mechanical-code-2022/chapter/2/definitions - clean_ing" xr:uid="{C13121A4-FFD6-CF4D-87ED-E06733C7910A}"/>
    <hyperlink ref="A24" r:id="rId3" location="department" display="https://up.codes/viewer/california/ca-mechanical-code-2022/chapter/2/definitions - department" xr:uid="{B541B4C5-265F-3D47-B6E7-7E1E336F23CC}"/>
    <hyperlink ref="A39" r:id="rId4" location="closet" display="https://up.codes/viewer/california/ca-mechanical-code-2022/chapter/2/definitions - closet" xr:uid="{558AAA58-EBD4-8D4B-A4C5-3B0985AC8D06}"/>
    <hyperlink ref="A112" r:id="rId5" location="equipment" display="https://up.codes/viewer/california/ca-mechanical-code-2022/chapter/2/definitions - equipment" xr:uid="{5EE138BF-BCB6-6141-BF5B-4936B44B64C6}"/>
  </hyperlinks>
  <printOptions verticalCentered="1"/>
  <pageMargins left="0.97" right="0.47" top="0.62" bottom="0.51" header="0.41" footer="0.32"/>
  <pageSetup paperSize="3" scale="94" orientation="landscape" r:id="rId6"/>
  <headerFooter alignWithMargins="0">
    <oddFooter>&amp;L&amp;"Arial Narrow,Regular"&amp;6* Refer to UMC Table 4-A for exact information&amp;R&amp;"Arial Narrow,Regular"&amp;8&amp;D</oddFooter>
  </headerFooter>
  <tableParts count="1">
    <tablePart r:id="rId7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B5:I51"/>
  <sheetViews>
    <sheetView topLeftCell="A10" zoomScale="115" zoomScaleNormal="115" workbookViewId="0">
      <selection activeCell="C24" sqref="C24"/>
    </sheetView>
  </sheetViews>
  <sheetFormatPr defaultColWidth="8.88671875" defaultRowHeight="13.2"/>
  <cols>
    <col min="2" max="2" width="18.44140625" bestFit="1" customWidth="1"/>
    <col min="5" max="5" width="10.44140625" bestFit="1" customWidth="1"/>
    <col min="7" max="7" width="41.44140625" bestFit="1" customWidth="1"/>
    <col min="8" max="8" width="63.44140625" style="91" customWidth="1"/>
    <col min="9" max="9" width="69.6640625" customWidth="1"/>
  </cols>
  <sheetData>
    <row r="5" spans="2:9">
      <c r="B5" s="11" t="s">
        <v>573</v>
      </c>
      <c r="G5" s="351" t="s">
        <v>574</v>
      </c>
      <c r="H5" s="351"/>
      <c r="I5" s="351"/>
    </row>
    <row r="6" spans="2:9">
      <c r="G6" s="11" t="s">
        <v>575</v>
      </c>
      <c r="H6" s="90" t="s">
        <v>576</v>
      </c>
      <c r="I6" s="11" t="s">
        <v>51</v>
      </c>
    </row>
    <row r="7" spans="2:9" ht="13.8">
      <c r="B7" s="364" t="s">
        <v>744</v>
      </c>
      <c r="C7" s="365"/>
      <c r="D7" s="365"/>
      <c r="E7" s="365"/>
      <c r="G7" s="11" t="s">
        <v>577</v>
      </c>
      <c r="H7" s="90" t="s">
        <v>578</v>
      </c>
      <c r="I7" s="11" t="s">
        <v>579</v>
      </c>
    </row>
    <row r="8" spans="2:9" ht="13.8">
      <c r="B8" s="5" t="s">
        <v>743</v>
      </c>
      <c r="C8" s="5" t="s">
        <v>52</v>
      </c>
      <c r="D8" s="6" t="s">
        <v>580</v>
      </c>
      <c r="E8" s="6" t="s">
        <v>581</v>
      </c>
      <c r="G8" s="11" t="s">
        <v>582</v>
      </c>
      <c r="H8" s="90" t="s">
        <v>583</v>
      </c>
      <c r="I8" s="11" t="s">
        <v>584</v>
      </c>
    </row>
    <row r="9" spans="2:9" ht="26.4">
      <c r="B9" s="4">
        <v>45</v>
      </c>
      <c r="C9" s="4">
        <v>1</v>
      </c>
      <c r="D9" s="7">
        <v>6</v>
      </c>
      <c r="E9" s="7">
        <v>30</v>
      </c>
      <c r="G9" t="s">
        <v>585</v>
      </c>
      <c r="I9" s="91" t="s">
        <v>586</v>
      </c>
    </row>
    <row r="10" spans="2:9" ht="26.4">
      <c r="B10" s="4">
        <v>90</v>
      </c>
      <c r="C10" s="4">
        <v>400</v>
      </c>
      <c r="D10" s="7">
        <v>8</v>
      </c>
      <c r="E10" s="7">
        <v>30</v>
      </c>
      <c r="G10" t="s">
        <v>587</v>
      </c>
      <c r="I10" s="91" t="s">
        <v>588</v>
      </c>
    </row>
    <row r="11" spans="2:9" ht="26.4">
      <c r="B11" s="4">
        <v>145</v>
      </c>
      <c r="C11" s="4">
        <v>700</v>
      </c>
      <c r="D11" s="7">
        <v>10</v>
      </c>
      <c r="E11" s="7">
        <v>35</v>
      </c>
      <c r="G11" t="s">
        <v>589</v>
      </c>
      <c r="I11" s="91" t="s">
        <v>590</v>
      </c>
    </row>
    <row r="12" spans="2:9" ht="26.4">
      <c r="B12" s="4">
        <v>190</v>
      </c>
      <c r="C12" s="4">
        <v>1000</v>
      </c>
      <c r="D12" s="7">
        <v>12</v>
      </c>
      <c r="E12" s="7">
        <v>45</v>
      </c>
      <c r="G12" t="s">
        <v>591</v>
      </c>
      <c r="I12" s="91" t="s">
        <v>592</v>
      </c>
    </row>
    <row r="13" spans="2:9" ht="26.4">
      <c r="B13" s="4">
        <v>300</v>
      </c>
      <c r="C13" s="4">
        <v>1500</v>
      </c>
      <c r="D13" s="7">
        <v>14</v>
      </c>
      <c r="E13" s="7">
        <v>55</v>
      </c>
      <c r="G13" t="s">
        <v>593</v>
      </c>
      <c r="I13" s="91" t="s">
        <v>594</v>
      </c>
    </row>
    <row r="14" spans="2:9" ht="27" thickBot="1">
      <c r="B14" s="8">
        <v>385</v>
      </c>
      <c r="C14" s="8">
        <v>2100</v>
      </c>
      <c r="D14" s="9">
        <v>16</v>
      </c>
      <c r="E14" s="9">
        <v>60</v>
      </c>
      <c r="G14" t="s">
        <v>595</v>
      </c>
      <c r="I14" s="91" t="s">
        <v>596</v>
      </c>
    </row>
    <row r="15" spans="2:9">
      <c r="G15" t="s">
        <v>597</v>
      </c>
      <c r="I15" s="91" t="s">
        <v>598</v>
      </c>
    </row>
    <row r="16" spans="2:9" ht="26.4">
      <c r="B16" s="363" t="s">
        <v>599</v>
      </c>
      <c r="C16" s="363"/>
      <c r="D16" s="363"/>
      <c r="E16" s="363"/>
      <c r="F16" s="363"/>
      <c r="G16" t="s">
        <v>600</v>
      </c>
      <c r="I16" s="91" t="s">
        <v>601</v>
      </c>
    </row>
    <row r="17" spans="2:9">
      <c r="B17" s="88" t="s">
        <v>602</v>
      </c>
      <c r="C17" s="89" cm="1">
        <f t="array" ref="C17">GetStandardAtmPressure(INPUT_OUTPUTS!$G$6)</f>
        <v>13.664497020750565</v>
      </c>
      <c r="D17" s="88" t="s">
        <v>603</v>
      </c>
      <c r="E17" s="88"/>
      <c r="F17" s="88"/>
      <c r="G17" t="s">
        <v>604</v>
      </c>
      <c r="I17" s="91" t="s">
        <v>605</v>
      </c>
    </row>
    <row r="18" spans="2:9" ht="26.4">
      <c r="B18" s="88" t="s">
        <v>606</v>
      </c>
      <c r="C18" s="89" cm="1">
        <f t="array" ref="C18">GetDryAirDensity(75,$C$17)</f>
        <v>6.8982019074350975E-2</v>
      </c>
      <c r="D18" s="88" t="s">
        <v>607</v>
      </c>
      <c r="E18" s="88"/>
      <c r="F18" s="88"/>
      <c r="G18" t="s">
        <v>608</v>
      </c>
      <c r="I18" s="91" t="s">
        <v>609</v>
      </c>
    </row>
    <row r="19" spans="2:9" ht="26.4">
      <c r="B19" s="88" t="s">
        <v>610</v>
      </c>
      <c r="C19" s="89">
        <f>C18*60*0.24</f>
        <v>0.99334107467065391</v>
      </c>
      <c r="D19" s="88"/>
      <c r="E19" s="88"/>
      <c r="F19" s="88"/>
      <c r="G19" t="s">
        <v>611</v>
      </c>
      <c r="I19" s="91" t="s">
        <v>612</v>
      </c>
    </row>
    <row r="20" spans="2:9">
      <c r="B20" s="88" t="s">
        <v>613</v>
      </c>
      <c r="C20" s="89">
        <f>$C$18*60</f>
        <v>4.1389211444610581</v>
      </c>
      <c r="D20" s="88"/>
      <c r="E20" s="88"/>
      <c r="F20" s="88"/>
      <c r="G20" t="s">
        <v>614</v>
      </c>
      <c r="I20" s="91" t="s">
        <v>615</v>
      </c>
    </row>
    <row r="21" spans="2:9" ht="26.4">
      <c r="G21" t="s">
        <v>616</v>
      </c>
      <c r="I21" s="91" t="s">
        <v>617</v>
      </c>
    </row>
    <row r="22" spans="2:9" ht="26.4">
      <c r="B22" s="88" t="s">
        <v>755</v>
      </c>
      <c r="G22" t="s">
        <v>618</v>
      </c>
      <c r="I22" s="91" t="s">
        <v>619</v>
      </c>
    </row>
    <row r="23" spans="2:9">
      <c r="B23" s="11" t="s">
        <v>756</v>
      </c>
      <c r="G23" t="s">
        <v>620</v>
      </c>
      <c r="I23" s="91" t="s">
        <v>621</v>
      </c>
    </row>
    <row r="24" spans="2:9">
      <c r="B24" s="11" t="s">
        <v>757</v>
      </c>
      <c r="G24" t="s">
        <v>622</v>
      </c>
      <c r="I24" s="91" t="s">
        <v>623</v>
      </c>
    </row>
    <row r="25" spans="2:9">
      <c r="G25" t="s">
        <v>624</v>
      </c>
      <c r="I25" s="91" t="s">
        <v>625</v>
      </c>
    </row>
    <row r="26" spans="2:9" ht="26.4">
      <c r="G26" t="s">
        <v>626</v>
      </c>
      <c r="I26" s="91" t="s">
        <v>627</v>
      </c>
    </row>
    <row r="27" spans="2:9">
      <c r="G27" t="s">
        <v>628</v>
      </c>
      <c r="I27" s="91" t="s">
        <v>629</v>
      </c>
    </row>
    <row r="28" spans="2:9">
      <c r="D28" s="11"/>
      <c r="G28" t="s">
        <v>630</v>
      </c>
      <c r="I28" s="91" t="s">
        <v>631</v>
      </c>
    </row>
    <row r="29" spans="2:9">
      <c r="G29" t="s">
        <v>632</v>
      </c>
      <c r="I29" s="91" t="s">
        <v>633</v>
      </c>
    </row>
    <row r="30" spans="2:9">
      <c r="G30" t="s">
        <v>634</v>
      </c>
      <c r="I30" s="91" t="s">
        <v>635</v>
      </c>
    </row>
    <row r="31" spans="2:9">
      <c r="G31" t="s">
        <v>636</v>
      </c>
      <c r="I31" s="91" t="s">
        <v>637</v>
      </c>
    </row>
    <row r="32" spans="2:9">
      <c r="G32" t="s">
        <v>638</v>
      </c>
      <c r="I32" s="91" t="s">
        <v>639</v>
      </c>
    </row>
    <row r="33" spans="7:9">
      <c r="G33" t="s">
        <v>640</v>
      </c>
      <c r="I33" s="91" t="s">
        <v>641</v>
      </c>
    </row>
    <row r="34" spans="7:9">
      <c r="G34" t="s">
        <v>642</v>
      </c>
      <c r="I34" s="91" t="s">
        <v>643</v>
      </c>
    </row>
    <row r="35" spans="7:9">
      <c r="G35" t="s">
        <v>644</v>
      </c>
      <c r="I35" s="91" t="s">
        <v>645</v>
      </c>
    </row>
    <row r="36" spans="7:9">
      <c r="G36" t="s">
        <v>646</v>
      </c>
      <c r="I36" s="91" t="s">
        <v>647</v>
      </c>
    </row>
    <row r="37" spans="7:9">
      <c r="G37" t="s">
        <v>648</v>
      </c>
      <c r="I37" s="91" t="s">
        <v>649</v>
      </c>
    </row>
    <row r="38" spans="7:9">
      <c r="G38" t="s">
        <v>650</v>
      </c>
      <c r="I38" s="91" t="s">
        <v>651</v>
      </c>
    </row>
    <row r="39" spans="7:9" ht="26.4">
      <c r="G39" t="s">
        <v>652</v>
      </c>
      <c r="I39" s="91" t="s">
        <v>653</v>
      </c>
    </row>
    <row r="40" spans="7:9" ht="39.6">
      <c r="G40" t="s">
        <v>654</v>
      </c>
      <c r="I40" s="91" t="s">
        <v>655</v>
      </c>
    </row>
    <row r="41" spans="7:9">
      <c r="G41" t="s">
        <v>656</v>
      </c>
      <c r="I41" s="91" t="s">
        <v>657</v>
      </c>
    </row>
    <row r="42" spans="7:9" ht="26.4">
      <c r="G42" t="s">
        <v>658</v>
      </c>
      <c r="I42" s="91" t="s">
        <v>659</v>
      </c>
    </row>
    <row r="43" spans="7:9" ht="26.4">
      <c r="G43" t="s">
        <v>660</v>
      </c>
      <c r="I43" s="91" t="s">
        <v>661</v>
      </c>
    </row>
    <row r="44" spans="7:9">
      <c r="G44" t="s">
        <v>662</v>
      </c>
      <c r="I44" s="91" t="s">
        <v>663</v>
      </c>
    </row>
    <row r="45" spans="7:9">
      <c r="G45" t="s">
        <v>664</v>
      </c>
      <c r="I45" s="91" t="s">
        <v>665</v>
      </c>
    </row>
    <row r="46" spans="7:9">
      <c r="G46" t="s">
        <v>666</v>
      </c>
      <c r="I46" s="91" t="s">
        <v>667</v>
      </c>
    </row>
    <row r="47" spans="7:9" ht="26.4">
      <c r="G47" t="s">
        <v>668</v>
      </c>
      <c r="I47" s="91" t="s">
        <v>669</v>
      </c>
    </row>
    <row r="48" spans="7:9">
      <c r="G48" t="s">
        <v>670</v>
      </c>
      <c r="I48" s="91" t="s">
        <v>671</v>
      </c>
    </row>
    <row r="49" spans="7:9" ht="39.6">
      <c r="G49" t="s">
        <v>672</v>
      </c>
      <c r="I49" s="91" t="s">
        <v>673</v>
      </c>
    </row>
    <row r="50" spans="7:9" ht="39.6">
      <c r="G50" t="s">
        <v>674</v>
      </c>
      <c r="I50" s="91" t="s">
        <v>675</v>
      </c>
    </row>
    <row r="51" spans="7:9" ht="39.6">
      <c r="G51" t="s">
        <v>676</v>
      </c>
      <c r="I51" s="91" t="s">
        <v>677</v>
      </c>
    </row>
  </sheetData>
  <mergeCells count="3">
    <mergeCell ref="B16:F16"/>
    <mergeCell ref="G5:I5"/>
    <mergeCell ref="B7:E7"/>
  </mergeCell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� 
</file>

<file path=customXml/item5.xml>�� 
</file>

<file path=customXml/item6.xml>�� 
</file>

<file path=customXml/item7.xml>�� 
</file>

<file path=customXml/item8.xml>�� � � � � � � � � � � � � � � � � � � � � � � � � � � � � � � � � � � � � � � � � � � � � � � � � � � � �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� � � � � � � � � � � � � � � � � � � � � � � � � �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1CB8CE2C-68EE-453A-B6B9-954186C78856}">
  <ds:schemaRefs/>
</ds:datastoreItem>
</file>

<file path=customXml/itemProps2.xml><?xml version="1.0" encoding="utf-8"?>
<ds:datastoreItem xmlns:ds="http://schemas.openxmlformats.org/officeDocument/2006/customXml" ds:itemID="{73E72D33-8CDB-48B3-81B1-83AB753555E6}">
  <ds:schemaRefs/>
</ds:datastoreItem>
</file>

<file path=customXml/itemProps3.xml><?xml version="1.0" encoding="utf-8"?>
<ds:datastoreItem xmlns:ds="http://schemas.openxmlformats.org/officeDocument/2006/customXml" ds:itemID="{7202CCF7-04C4-426D-A15B-FCB4AAD73971}">
  <ds:schemaRefs/>
</ds:datastoreItem>
</file>

<file path=customXml/itemProps4.xml><?xml version="1.0" encoding="utf-8"?>
<ds:datastoreItem xmlns:ds="http://schemas.openxmlformats.org/officeDocument/2006/customXml" ds:itemID="{3F31C53F-DFA4-4BD6-960C-02D3696858DE}">
  <ds:schemaRefs/>
</ds:datastoreItem>
</file>

<file path=customXml/itemProps5.xml><?xml version="1.0" encoding="utf-8"?>
<ds:datastoreItem xmlns:ds="http://schemas.openxmlformats.org/officeDocument/2006/customXml" ds:itemID="{2ACA1A40-4F6D-4B0C-91AA-28C30B17735D}">
  <ds:schemaRefs/>
</ds:datastoreItem>
</file>

<file path=customXml/itemProps6.xml><?xml version="1.0" encoding="utf-8"?>
<ds:datastoreItem xmlns:ds="http://schemas.openxmlformats.org/officeDocument/2006/customXml" ds:itemID="{D850471A-0CDE-4413-A0DB-4B7F901D2BD9}">
  <ds:schemaRefs/>
</ds:datastoreItem>
</file>

<file path=customXml/itemProps7.xml><?xml version="1.0" encoding="utf-8"?>
<ds:datastoreItem xmlns:ds="http://schemas.openxmlformats.org/officeDocument/2006/customXml" ds:itemID="{E99A482B-E5E1-49A2-BB12-907608BC0E09}">
  <ds:schemaRefs/>
</ds:datastoreItem>
</file>

<file path=customXml/itemProps8.xml><?xml version="1.0" encoding="utf-8"?>
<ds:datastoreItem xmlns:ds="http://schemas.openxmlformats.org/officeDocument/2006/customXml" ds:itemID="{EB08F863-D170-47EA-A84C-83549087351D}">
  <ds:schemaRefs/>
</ds:datastoreItem>
</file>

<file path=customXml/itemProps9.xml><?xml version="1.0" encoding="utf-8"?>
<ds:datastoreItem xmlns:ds="http://schemas.openxmlformats.org/officeDocument/2006/customXml" ds:itemID="{0F7AA644-22B3-4EF8-B9C4-D3F5557CFEE3}">
  <ds:schemaRefs/>
</ds:datastoreItem>
</file>

<file path=customXml/itemProps10.xml><?xml version="1.0" encoding="utf-8"?>
<ds:datastoreItem xmlns:ds="http://schemas.openxmlformats.org/officeDocument/2006/customXml" ds:itemID="{6D507B4B-C9ED-44F3-8037-6886F3127BF6}">
  <ds:schemaRefs/>
</ds:datastoreItem>
</file>

<file path=customXml/itemProps11.xml><?xml version="1.0" encoding="utf-8"?>
<ds:datastoreItem xmlns:ds="http://schemas.openxmlformats.org/officeDocument/2006/customXml" ds:itemID="{C6A71342-598D-44A1-871B-880BDE6775E5}">
  <ds:schemaRefs/>
</ds:datastoreItem>
</file>

<file path=customXml/itemProps12.xml><?xml version="1.0" encoding="utf-8"?>
<ds:datastoreItem xmlns:ds="http://schemas.openxmlformats.org/officeDocument/2006/customXml" ds:itemID="{92114E93-BF99-481B-8587-DAE6BA6DE52A}">
  <ds:schemaRefs/>
</ds:datastoreItem>
</file>

<file path=customXml/itemProps13.xml><?xml version="1.0" encoding="utf-8"?>
<ds:datastoreItem xmlns:ds="http://schemas.openxmlformats.org/officeDocument/2006/customXml" ds:itemID="{E75927D6-4CFF-4134-B821-644F60184EB2}">
  <ds:schemaRefs/>
</ds:datastoreItem>
</file>

<file path=customXml/itemProps14.xml><?xml version="1.0" encoding="utf-8"?>
<ds:datastoreItem xmlns:ds="http://schemas.openxmlformats.org/officeDocument/2006/customXml" ds:itemID="{9EB7E48D-2BC1-483D-AA97-799BE1E01A1B}">
  <ds:schemaRefs>
    <ds:schemaRef ds:uri="http://schemas.microsoft.com/DataMashup"/>
  </ds:schemaRefs>
</ds:datastoreItem>
</file>

<file path=customXml/itemProps15.xml><?xml version="1.0" encoding="utf-8"?>
<ds:datastoreItem xmlns:ds="http://schemas.openxmlformats.org/officeDocument/2006/customXml" ds:itemID="{B879EA12-6ED4-4302-8229-16FB2C15B211}">
  <ds:schemaRefs/>
</ds:datastoreItem>
</file>

<file path=customXml/itemProps16.xml><?xml version="1.0" encoding="utf-8"?>
<ds:datastoreItem xmlns:ds="http://schemas.openxmlformats.org/officeDocument/2006/customXml" ds:itemID="{B9C24CED-5D5E-4E5B-B592-42D9FEBCEE78}">
  <ds:schemaRefs/>
</ds:datastoreItem>
</file>

<file path=customXml/itemProps17.xml><?xml version="1.0" encoding="utf-8"?>
<ds:datastoreItem xmlns:ds="http://schemas.openxmlformats.org/officeDocument/2006/customXml" ds:itemID="{CB84C39A-D797-4B6B-905F-6C86027DD256}">
  <ds:schemaRefs/>
</ds:datastoreItem>
</file>

<file path=customXml/itemProps18.xml><?xml version="1.0" encoding="utf-8"?>
<ds:datastoreItem xmlns:ds="http://schemas.openxmlformats.org/officeDocument/2006/customXml" ds:itemID="{266B7FBF-DD56-45E8-82C2-2D120A01DE6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9</vt:i4>
      </vt:variant>
    </vt:vector>
  </HeadingPairs>
  <TitlesOfParts>
    <vt:vector size="23" baseType="lpstr">
      <vt:lpstr>INPUT_OUTPUTS</vt:lpstr>
      <vt:lpstr>AshraeTable4a</vt:lpstr>
      <vt:lpstr>CAV_SCHEDULES</vt:lpstr>
      <vt:lpstr>62.1_MULTI_ZONE</vt:lpstr>
      <vt:lpstr>VAV_SCHEDULES</vt:lpstr>
      <vt:lpstr>Room Temperature</vt:lpstr>
      <vt:lpstr>AHU_SCHEDULES</vt:lpstr>
      <vt:lpstr>62.1_SINGLE_ZONE</vt:lpstr>
      <vt:lpstr>FCU_SCHEDULES</vt:lpstr>
      <vt:lpstr>CH_and_Boiler_Schedule </vt:lpstr>
      <vt:lpstr>Misc Rooms</vt:lpstr>
      <vt:lpstr>ASHRAE Table</vt:lpstr>
      <vt:lpstr>UMC Table 4-A</vt:lpstr>
      <vt:lpstr>DO NOT TOUCH</vt:lpstr>
      <vt:lpstr>AshraeTable4a!AHU_1AC_AV</vt:lpstr>
      <vt:lpstr>'62.1_MULTI_ZONE'!AHUs</vt:lpstr>
      <vt:lpstr>AHU_SCHEDULES!Print_Area</vt:lpstr>
      <vt:lpstr>AshraeTable4a!Print_Area</vt:lpstr>
      <vt:lpstr>FCU_SCHEDULES!Print_Area</vt:lpstr>
      <vt:lpstr>'UMC Table 4-A'!Print_Area</vt:lpstr>
      <vt:lpstr>AshraeTable4a!Print_Titles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Rushikesh Patil</cp:lastModifiedBy>
  <cp:revision/>
  <cp:lastPrinted>2024-03-02T23:59:57Z</cp:lastPrinted>
  <dcterms:created xsi:type="dcterms:W3CDTF">2001-05-17T15:02:58Z</dcterms:created>
  <dcterms:modified xsi:type="dcterms:W3CDTF">2024-03-03T02:37:35Z</dcterms:modified>
  <cp:category/>
  <cp:contentStatus/>
</cp:coreProperties>
</file>